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brewer\Documents\Attendance\"/>
    </mc:Choice>
  </mc:AlternateContent>
  <bookViews>
    <workbookView xWindow="0" yWindow="1470" windowWidth="9600" windowHeight="4770"/>
  </bookViews>
  <sheets>
    <sheet name="Input Enrollment" sheetId="6" r:id="rId1"/>
    <sheet name="Current Year" sheetId="2" r:id="rId2"/>
    <sheet name="CY Without" sheetId="9" r:id="rId3"/>
    <sheet name="Best 28" sheetId="8" r:id="rId4"/>
    <sheet name="Best 28 Without" sheetId="10" r:id="rId5"/>
    <sheet name="Exceptional Child Calc" sheetId="1" r:id="rId6"/>
    <sheet name="criteria" sheetId="7" state="hidden" r:id="rId7"/>
  </sheets>
  <definedNames>
    <definedName name="_xlnm._FilterDatabase" localSheetId="6" hidden="1">criteria!$A$16:$B$25</definedName>
    <definedName name="_xlnm.Criteria" localSheetId="6">criteria!$A$13:$A$14</definedName>
    <definedName name="_xlnm.Extract" localSheetId="6">criteria!$E$16:$F$16</definedName>
    <definedName name="_xlnm.Print_Area" localSheetId="3">'Best 28'!$A$1:$P$36</definedName>
    <definedName name="_xlnm.Print_Area" localSheetId="4">'Best 28 Without'!$A$1:$P$37</definedName>
    <definedName name="_xlnm.Print_Area" localSheetId="1">'Current Year'!$A$1:$P$36</definedName>
    <definedName name="_xlnm.Print_Area" localSheetId="2">'CY Without'!$A$1:$P$37</definedName>
  </definedNames>
  <calcPr calcId="162913"/>
</workbook>
</file>

<file path=xl/calcChain.xml><?xml version="1.0" encoding="utf-8"?>
<calcChain xmlns="http://schemas.openxmlformats.org/spreadsheetml/2006/main">
  <c r="G9" i="6" l="1"/>
  <c r="J16" i="8" s="1"/>
  <c r="H10" i="1"/>
  <c r="H13" i="1"/>
  <c r="H16" i="1"/>
  <c r="Q16" i="10"/>
  <c r="O16" i="10" s="1"/>
  <c r="P16" i="10" s="1"/>
  <c r="Q16" i="8"/>
  <c r="O16" i="8" s="1"/>
  <c r="P16" i="8" s="1"/>
  <c r="E9" i="6"/>
  <c r="Q16" i="9" s="1"/>
  <c r="O16" i="9" s="1"/>
  <c r="P16" i="9" s="1"/>
  <c r="P6" i="9"/>
  <c r="J16" i="9"/>
  <c r="M16" i="9" s="1"/>
  <c r="P7" i="2"/>
  <c r="J16" i="2"/>
  <c r="M16" i="2" s="1"/>
  <c r="Q16" i="2"/>
  <c r="O16" i="2" s="1"/>
  <c r="P16" i="2" s="1"/>
  <c r="J34" i="8"/>
  <c r="M34" i="8" s="1"/>
  <c r="J7" i="8"/>
  <c r="M7" i="8"/>
  <c r="Q7" i="8"/>
  <c r="O7" i="8"/>
  <c r="Q34" i="8"/>
  <c r="B34" i="8"/>
  <c r="J32" i="8"/>
  <c r="Q32" i="8" s="1"/>
  <c r="M32" i="8"/>
  <c r="O32" i="8"/>
  <c r="F7" i="8"/>
  <c r="P7" i="8"/>
  <c r="B32" i="8"/>
  <c r="J11" i="8"/>
  <c r="F11" i="8"/>
  <c r="H11" i="8"/>
  <c r="J13" i="8"/>
  <c r="F13" i="8" s="1"/>
  <c r="H13" i="8"/>
  <c r="H31" i="1"/>
  <c r="H39" i="1"/>
  <c r="H41" i="1"/>
  <c r="H43" i="1" s="1"/>
  <c r="H55" i="1"/>
  <c r="J22" i="10" s="1"/>
  <c r="J18" i="8"/>
  <c r="M18" i="8" s="1"/>
  <c r="Q18" i="8" s="1"/>
  <c r="H18" i="8"/>
  <c r="J18" i="10"/>
  <c r="M18" i="10" s="1"/>
  <c r="Q18" i="10" s="1"/>
  <c r="J32" i="10"/>
  <c r="M32" i="10" s="1"/>
  <c r="O32" i="10"/>
  <c r="J34" i="10"/>
  <c r="O34" i="10" s="1"/>
  <c r="M34" i="10"/>
  <c r="J7" i="10"/>
  <c r="M7" i="10"/>
  <c r="Q7" i="10"/>
  <c r="O7" i="10" s="1"/>
  <c r="Q34" i="10"/>
  <c r="B34" i="10"/>
  <c r="Q32" i="10"/>
  <c r="F7" i="10"/>
  <c r="J26" i="10"/>
  <c r="P7" i="10"/>
  <c r="B32" i="10"/>
  <c r="J11" i="10"/>
  <c r="F11" i="10" s="1"/>
  <c r="J13" i="10"/>
  <c r="H13" i="10" s="1"/>
  <c r="H37" i="1"/>
  <c r="K13" i="1"/>
  <c r="B26" i="1" s="1"/>
  <c r="J18" i="2"/>
  <c r="M18" i="2" s="1"/>
  <c r="Q18" i="2" s="1"/>
  <c r="J34" i="2"/>
  <c r="O34" i="2" s="1"/>
  <c r="M34" i="2"/>
  <c r="J7" i="2"/>
  <c r="M7" i="2"/>
  <c r="Q7" i="2"/>
  <c r="O7" i="2" s="1"/>
  <c r="O18" i="2"/>
  <c r="P18" i="2" s="1"/>
  <c r="J32" i="2"/>
  <c r="Q32" i="2"/>
  <c r="M32" i="2"/>
  <c r="O32" i="2"/>
  <c r="Q34" i="2"/>
  <c r="B34" i="2"/>
  <c r="F16" i="2"/>
  <c r="J11" i="2"/>
  <c r="H11" i="2" s="1"/>
  <c r="J13" i="2"/>
  <c r="F13" i="2" s="1"/>
  <c r="F18" i="2"/>
  <c r="F7" i="2"/>
  <c r="B32" i="2"/>
  <c r="H16" i="2"/>
  <c r="J18" i="9"/>
  <c r="M18" i="9"/>
  <c r="Q18" i="9" s="1"/>
  <c r="J6" i="9"/>
  <c r="M6" i="9"/>
  <c r="Q6" i="9"/>
  <c r="O6" i="9" s="1"/>
  <c r="O18" i="9"/>
  <c r="P18" i="9" s="1"/>
  <c r="J26" i="9"/>
  <c r="J32" i="9"/>
  <c r="O32" i="9" s="1"/>
  <c r="J34" i="9"/>
  <c r="O34" i="9"/>
  <c r="Q32" i="9"/>
  <c r="M32" i="9"/>
  <c r="Q34" i="9"/>
  <c r="B34" i="9"/>
  <c r="J10" i="9"/>
  <c r="H10" i="9" s="1"/>
  <c r="J12" i="9"/>
  <c r="H12" i="9" s="1"/>
  <c r="H16" i="9"/>
  <c r="F16" i="9"/>
  <c r="F18" i="9"/>
  <c r="F6" i="9"/>
  <c r="B32" i="9"/>
  <c r="M34" i="9"/>
  <c r="H18" i="1"/>
  <c r="H20" i="1" s="1"/>
  <c r="H22" i="1" s="1"/>
  <c r="O18" i="8" l="1"/>
  <c r="P18" i="8" s="1"/>
  <c r="F13" i="10"/>
  <c r="H13" i="2"/>
  <c r="H18" i="2"/>
  <c r="J26" i="8"/>
  <c r="J26" i="2"/>
  <c r="F18" i="8"/>
  <c r="F10" i="9"/>
  <c r="K10" i="1"/>
  <c r="B25" i="1" s="1"/>
  <c r="F12" i="9"/>
  <c r="H11" i="10"/>
  <c r="J22" i="2"/>
  <c r="J22" i="8"/>
  <c r="J22" i="9"/>
  <c r="D25" i="1"/>
  <c r="J24" i="8"/>
  <c r="J24" i="9"/>
  <c r="D26" i="1"/>
  <c r="J24" i="2"/>
  <c r="J24" i="10"/>
  <c r="J29" i="10" s="1"/>
  <c r="H16" i="8"/>
  <c r="F16" i="8"/>
  <c r="J16" i="10"/>
  <c r="F11" i="2"/>
  <c r="O18" i="10"/>
  <c r="P18" i="10" s="1"/>
  <c r="F18" i="10"/>
  <c r="O34" i="8"/>
  <c r="J29" i="9" l="1"/>
  <c r="H25" i="1"/>
  <c r="H26" i="1" s="1"/>
  <c r="J29" i="8"/>
  <c r="M29" i="8" s="1"/>
  <c r="Q29" i="8" s="1"/>
  <c r="O29" i="8" s="1"/>
  <c r="P29" i="8" s="1"/>
  <c r="M29" i="9"/>
  <c r="Q29" i="9" s="1"/>
  <c r="M29" i="10"/>
  <c r="Q29" i="10" s="1"/>
  <c r="O29" i="10" s="1"/>
  <c r="P29" i="10" s="1"/>
  <c r="J29" i="2"/>
  <c r="F16" i="10"/>
  <c r="H16" i="10"/>
  <c r="O11" i="2"/>
  <c r="O11" i="8"/>
  <c r="Q13" i="10"/>
  <c r="M11" i="10"/>
  <c r="O10" i="9"/>
  <c r="Q12" i="9"/>
  <c r="M13" i="8"/>
  <c r="M11" i="2"/>
  <c r="O12" i="9"/>
  <c r="P12" i="9" s="1"/>
  <c r="Q13" i="8"/>
  <c r="M12" i="9"/>
  <c r="M11" i="8"/>
  <c r="M16" i="8"/>
  <c r="O11" i="10"/>
  <c r="Q11" i="10"/>
  <c r="Q11" i="2"/>
  <c r="O13" i="8"/>
  <c r="P13" i="8" s="1"/>
  <c r="O13" i="2"/>
  <c r="P13" i="2" s="1"/>
  <c r="M16" i="10"/>
  <c r="Q11" i="8"/>
  <c r="O13" i="10"/>
  <c r="P13" i="10" s="1"/>
  <c r="M13" i="2"/>
  <c r="Q13" i="2"/>
  <c r="Q10" i="9"/>
  <c r="M10" i="9"/>
  <c r="M13" i="10"/>
  <c r="O29" i="9" l="1"/>
  <c r="P29" i="9" s="1"/>
  <c r="P14" i="10"/>
  <c r="O14" i="10" s="1"/>
  <c r="O36" i="10" s="1"/>
  <c r="P14" i="8"/>
  <c r="O14" i="8" s="1"/>
  <c r="O36" i="8" s="1"/>
  <c r="M29" i="2"/>
  <c r="Q29" i="2" s="1"/>
  <c r="O29" i="2" s="1"/>
  <c r="P29" i="2" s="1"/>
  <c r="P10" i="9"/>
  <c r="P11" i="10"/>
  <c r="P11" i="8"/>
  <c r="P11" i="2"/>
  <c r="P13" i="9"/>
  <c r="O13" i="9" s="1"/>
  <c r="N36" i="9" s="1"/>
  <c r="P15" i="2"/>
  <c r="O15" i="2" s="1"/>
  <c r="N36" i="2" l="1"/>
  <c r="M37" i="9" s="1"/>
  <c r="M37" i="10"/>
</calcChain>
</file>

<file path=xl/sharedStrings.xml><?xml version="1.0" encoding="utf-8"?>
<sst xmlns="http://schemas.openxmlformats.org/spreadsheetml/2006/main" count="319" uniqueCount="119">
  <si>
    <t>ESTIMATING EXCEPTIONAL CHILD UNIT APPROVALS</t>
  </si>
  <si>
    <t>ELEMENTARY</t>
  </si>
  <si>
    <t>1.</t>
  </si>
  <si>
    <t>2.</t>
  </si>
  <si>
    <t>C</t>
  </si>
  <si>
    <t>(Do not include border students)</t>
  </si>
  <si>
    <t>3.</t>
  </si>
  <si>
    <t>Elementary exceptional students eligible</t>
  </si>
  <si>
    <t>for tuition equivalency allowance</t>
  </si>
  <si>
    <t>4.</t>
  </si>
  <si>
    <t>Line 1 + Line 2 - Line 3</t>
  </si>
  <si>
    <t>5.</t>
  </si>
  <si>
    <t>Line 4 x 6%</t>
  </si>
  <si>
    <t>6.</t>
  </si>
  <si>
    <t>students approved for special education unit funding</t>
  </si>
  <si>
    <t>=</t>
  </si>
  <si>
    <t>% of</t>
  </si>
  <si>
    <t>Total</t>
  </si>
  <si>
    <t>SECONDARY</t>
  </si>
  <si>
    <t>7.</t>
  </si>
  <si>
    <t>students, grades 7-12</t>
  </si>
  <si>
    <t>(Do not include alternative school,</t>
  </si>
  <si>
    <t>detention center, or border students)</t>
  </si>
  <si>
    <t>8.</t>
  </si>
  <si>
    <t>juvenile detention center students)</t>
  </si>
  <si>
    <t>9.</t>
  </si>
  <si>
    <t>Line 7 - line 8</t>
  </si>
  <si>
    <t>10.</t>
  </si>
  <si>
    <t>Line 9 x 5.5%</t>
  </si>
  <si>
    <t>11.</t>
  </si>
  <si>
    <t>Line 8 + line 10 = the number of secondary</t>
  </si>
  <si>
    <t>students approved for special education unit funding.</t>
  </si>
  <si>
    <t>PRESCHOOL</t>
  </si>
  <si>
    <t>12.</t>
  </si>
  <si>
    <t xml:space="preserve">        then divide by 16 hours.  No student</t>
  </si>
  <si>
    <t xml:space="preserve">        will be approved for more than 1 FTE</t>
  </si>
  <si>
    <t>b.     Total all Preschool FTE approvals</t>
  </si>
  <si>
    <t xml:space="preserve">        Line 12(b) equals the number of preschool</t>
  </si>
  <si>
    <t xml:space="preserve">        exceptional students approved for unit funding.</t>
  </si>
  <si>
    <t>ADMINISTRATIVE UNITS</t>
  </si>
  <si>
    <t>Kindergarten Administrative</t>
  </si>
  <si>
    <t>Elementary Administrative</t>
  </si>
  <si>
    <t>Grades 1-3</t>
  </si>
  <si>
    <t>Grades 4-6</t>
  </si>
  <si>
    <t>Grades 1-6</t>
  </si>
  <si>
    <t>Secondary Administrative</t>
  </si>
  <si>
    <t>EXCEPTIONAL CHILD UNITS</t>
  </si>
  <si>
    <t>Preschool Approvals</t>
  </si>
  <si>
    <t>Elementary Approvals</t>
  </si>
  <si>
    <t>Secondary Approvals</t>
  </si>
  <si>
    <t>Total Exceptional A.D.A</t>
  </si>
  <si>
    <t>¸</t>
  </si>
  <si>
    <t>Line 3 + Line 5 = the number of elementary</t>
  </si>
  <si>
    <r>
      <t xml:space="preserve">tuition equivalency allowance </t>
    </r>
    <r>
      <rPr>
        <sz val="10"/>
        <rFont val="Arial"/>
        <family val="2"/>
      </rPr>
      <t>(other than</t>
    </r>
  </si>
  <si>
    <r>
      <t xml:space="preserve">a.     For </t>
    </r>
    <r>
      <rPr>
        <u/>
        <sz val="12"/>
        <rFont val="Arial"/>
        <family val="2"/>
      </rPr>
      <t>each</t>
    </r>
    <r>
      <rPr>
        <sz val="12"/>
        <rFont val="Arial"/>
        <family val="2"/>
      </rPr>
      <t xml:space="preserve"> exceptional preschool</t>
    </r>
  </si>
  <si>
    <r>
      <t xml:space="preserve">        minutes </t>
    </r>
    <r>
      <rPr>
        <u/>
        <sz val="12"/>
        <rFont val="Arial"/>
        <family val="2"/>
      </rPr>
      <t>per week</t>
    </r>
    <r>
      <rPr>
        <sz val="12"/>
        <rFont val="Arial"/>
        <family val="2"/>
      </rPr>
      <t xml:space="preserve"> of direct service;</t>
    </r>
  </si>
  <si>
    <r>
      <t xml:space="preserve">Secondary </t>
    </r>
    <r>
      <rPr>
        <u/>
        <sz val="12"/>
        <rFont val="Arial"/>
        <family val="2"/>
      </rPr>
      <t>exeptional</t>
    </r>
    <r>
      <rPr>
        <sz val="12"/>
        <rFont val="Arial"/>
        <family val="2"/>
      </rPr>
      <t xml:space="preserve"> students eligible for</t>
    </r>
  </si>
  <si>
    <t>Number of Pre-school Students</t>
  </si>
  <si>
    <t>Estimated Fall Enrollment</t>
  </si>
  <si>
    <t>Exceptional students eligible for tuition equivalency allowance</t>
  </si>
  <si>
    <t>Elementary</t>
  </si>
  <si>
    <t>Secondary</t>
  </si>
  <si>
    <t>grades 4-6 Portion</t>
  </si>
  <si>
    <t>X</t>
  </si>
  <si>
    <t>grades 1-3 Portion</t>
  </si>
  <si>
    <t>6.a</t>
  </si>
  <si>
    <t>6.b</t>
  </si>
  <si>
    <t>Hours and minutes of service per student per week</t>
  </si>
  <si>
    <t>KINDERGARTEN</t>
  </si>
  <si>
    <t>Low</t>
  </si>
  <si>
    <t>Elementary grades 1-3</t>
  </si>
  <si>
    <t>Unit</t>
  </si>
  <si>
    <t>Elementary grades 4-6</t>
  </si>
  <si>
    <t>Exceptional Education</t>
  </si>
  <si>
    <t>Elementary grades 1-6</t>
  </si>
  <si>
    <t>BEST 28 WEEKS</t>
  </si>
  <si>
    <t>Without Secondary Special Education Approvals</t>
  </si>
  <si>
    <t>SECONDARY LESS THAN 99.99</t>
  </si>
  <si>
    <t>high grade</t>
  </si>
  <si>
    <t>units</t>
  </si>
  <si>
    <t>Minimum</t>
  </si>
  <si>
    <t>Input Estimated Information</t>
  </si>
  <si>
    <t>Current Year Support Unit Calculation</t>
  </si>
  <si>
    <t>A.D.A</t>
  </si>
  <si>
    <r>
      <t xml:space="preserve">Unit      </t>
    </r>
    <r>
      <rPr>
        <u/>
        <sz val="10"/>
        <rFont val="Arial"/>
        <family val="2"/>
      </rPr>
      <t>Divisor</t>
    </r>
  </si>
  <si>
    <t>Support Units</t>
  </si>
  <si>
    <t>equals 300 or more:</t>
  </si>
  <si>
    <r>
      <t>Special</t>
    </r>
    <r>
      <rPr>
        <u/>
        <sz val="10"/>
        <rFont val="Arial"/>
        <family val="2"/>
      </rPr>
      <t xml:space="preserve">
Education</t>
    </r>
  </si>
  <si>
    <r>
      <t>Adjusted</t>
    </r>
    <r>
      <rPr>
        <u/>
        <sz val="10"/>
        <rFont val="Arial"/>
        <family val="2"/>
      </rPr>
      <t xml:space="preserve">
A.D.A</t>
    </r>
  </si>
  <si>
    <t xml:space="preserve">Exceptional Preschool </t>
  </si>
  <si>
    <t xml:space="preserve">Exceptional Elementary </t>
  </si>
  <si>
    <t xml:space="preserve">Exceptional Secondary </t>
  </si>
  <si>
    <t>-</t>
  </si>
  <si>
    <t>Exceptional Education Total</t>
  </si>
  <si>
    <t>Second copy for district without Secondary Special Education Approvals</t>
  </si>
  <si>
    <t xml:space="preserve">        student, total the number of hours and</t>
  </si>
  <si>
    <t>less than 300:</t>
  </si>
  <si>
    <t>Charter Schools Only</t>
  </si>
  <si>
    <t>Optional programs you may or may not have</t>
  </si>
  <si>
    <t>BUDGET WORKSHEETS</t>
  </si>
  <si>
    <t>Fall Enrollment, grades K-3</t>
  </si>
  <si>
    <t>Fall Enrollment, grades 4-6</t>
  </si>
  <si>
    <t>Fall enrollment for regular secondary</t>
  </si>
  <si>
    <t>Preschool Student Approvals</t>
  </si>
  <si>
    <t>TOTAL Estimated Support Units (Round to nearest hundredth)</t>
  </si>
  <si>
    <t>EXCEPTIONAL PRESCHOOL</t>
  </si>
  <si>
    <t>ALTERNATIVE SCHOOL UNITS</t>
  </si>
  <si>
    <t>Through Midterm Reporting period</t>
  </si>
  <si>
    <t>Estimated ADA Midterm Reporting (95% of enrollment)</t>
  </si>
  <si>
    <t>Estimated ADA Best 28 Weeks (93% of enrollment)</t>
  </si>
  <si>
    <t>ALTERNATIVE SCHOOL*</t>
  </si>
  <si>
    <t>Summer Alternative School**</t>
  </si>
  <si>
    <t>*</t>
  </si>
  <si>
    <t>Alternative School ADA is based on the following calculation:</t>
  </si>
  <si>
    <t>Aggregated attendance hours / days in session / 4 or 5 day program = Aggregated ADA (use)</t>
  </si>
  <si>
    <t xml:space="preserve">   (5 day program use 5, 4 day or less program use 6.25)</t>
  </si>
  <si>
    <t>**</t>
  </si>
  <si>
    <t>Summer Alt School ADA is based on the following calculation:</t>
  </si>
  <si>
    <t>Aggregated attendance hours / 225 = Adjusted ADA (use)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</si>
</sst>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Symbol"/>
      <family val="1"/>
      <charset val="2"/>
    </font>
    <font>
      <sz val="8"/>
      <name val="Arial"/>
      <family val="2"/>
    </font>
    <font>
      <sz val="10"/>
      <color indexed="48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6"/>
      <name val="Arial"/>
      <family val="2"/>
    </font>
    <font>
      <sz val="10"/>
      <color indexed="9"/>
      <name val="Arial"/>
      <family val="2"/>
    </font>
    <font>
      <b/>
      <sz val="12"/>
      <color indexed="9"/>
      <name val="Arial"/>
      <family val="2"/>
    </font>
    <font>
      <sz val="10"/>
      <color indexed="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49" fontId="0" fillId="0" borderId="0" xfId="0" applyNumberFormat="1"/>
    <xf numFmtId="49" fontId="2" fillId="0" borderId="0" xfId="0" applyNumberFormat="1" applyFont="1"/>
    <xf numFmtId="0" fontId="0" fillId="0" borderId="0" xfId="0" applyBorder="1" applyAlignment="1"/>
    <xf numFmtId="0" fontId="0" fillId="0" borderId="0" xfId="0" applyBorder="1"/>
    <xf numFmtId="49" fontId="1" fillId="0" borderId="0" xfId="0" applyNumberFormat="1" applyFont="1"/>
    <xf numFmtId="0" fontId="1" fillId="0" borderId="0" xfId="0" applyFont="1" applyBorder="1" applyAlignment="1"/>
    <xf numFmtId="0" fontId="1" fillId="0" borderId="0" xfId="0" applyFont="1" applyBorder="1"/>
    <xf numFmtId="0" fontId="5" fillId="0" borderId="0" xfId="0" applyFont="1"/>
    <xf numFmtId="0" fontId="3" fillId="0" borderId="0" xfId="0" applyFont="1"/>
    <xf numFmtId="0" fontId="6" fillId="0" borderId="0" xfId="0" applyFont="1"/>
    <xf numFmtId="0" fontId="0" fillId="0" borderId="1" xfId="0" applyBorder="1" applyAlignment="1">
      <alignment horizontal="center"/>
    </xf>
    <xf numFmtId="49" fontId="2" fillId="0" borderId="0" xfId="0" applyNumberFormat="1" applyFont="1" applyAlignment="1">
      <alignment vertical="center"/>
    </xf>
    <xf numFmtId="49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0" fontId="5" fillId="0" borderId="1" xfId="0" applyNumberFormat="1" applyFont="1" applyBorder="1"/>
    <xf numFmtId="2" fontId="0" fillId="0" borderId="0" xfId="0" applyNumberFormat="1"/>
    <xf numFmtId="2" fontId="1" fillId="0" borderId="0" xfId="0" applyNumberFormat="1" applyFont="1"/>
    <xf numFmtId="49" fontId="5" fillId="0" borderId="0" xfId="0" applyNumberFormat="1" applyFont="1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wrapText="1"/>
    </xf>
    <xf numFmtId="10" fontId="1" fillId="0" borderId="0" xfId="0" applyNumberFormat="1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4" fontId="0" fillId="0" borderId="0" xfId="0" applyNumberFormat="1"/>
    <xf numFmtId="4" fontId="0" fillId="0" borderId="0" xfId="0" applyNumberFormat="1" applyBorder="1" applyAlignment="1">
      <alignment horizontal="center"/>
    </xf>
    <xf numFmtId="0" fontId="10" fillId="2" borderId="0" xfId="0" applyFont="1" applyFill="1" applyAlignment="1">
      <alignment horizontal="center"/>
    </xf>
    <xf numFmtId="3" fontId="0" fillId="2" borderId="0" xfId="0" applyNumberFormat="1" applyFill="1" applyAlignment="1">
      <alignment horizontal="center"/>
    </xf>
    <xf numFmtId="3" fontId="11" fillId="2" borderId="0" xfId="0" applyNumberFormat="1" applyFont="1" applyFill="1" applyAlignment="1">
      <alignment horizontal="center"/>
    </xf>
    <xf numFmtId="3" fontId="9" fillId="0" borderId="2" xfId="0" applyNumberFormat="1" applyFont="1" applyBorder="1" applyAlignment="1" applyProtection="1">
      <alignment horizontal="center"/>
      <protection locked="0"/>
    </xf>
    <xf numFmtId="3" fontId="9" fillId="0" borderId="3" xfId="0" applyNumberFormat="1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Fill="1"/>
    <xf numFmtId="0" fontId="12" fillId="0" borderId="0" xfId="0" applyFont="1"/>
    <xf numFmtId="4" fontId="0" fillId="0" borderId="1" xfId="0" applyNumberFormat="1" applyBorder="1" applyAlignment="1">
      <alignment horizontal="center"/>
    </xf>
    <xf numFmtId="0" fontId="8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0" fillId="0" borderId="1" xfId="0" applyBorder="1"/>
    <xf numFmtId="4" fontId="9" fillId="0" borderId="4" xfId="0" applyNumberFormat="1" applyFont="1" applyBorder="1" applyAlignment="1" applyProtection="1">
      <alignment horizontal="center"/>
      <protection locked="0"/>
    </xf>
    <xf numFmtId="164" fontId="9" fillId="0" borderId="2" xfId="0" applyNumberFormat="1" applyFont="1" applyBorder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10" fillId="2" borderId="0" xfId="0" applyFont="1" applyFill="1" applyAlignment="1" applyProtection="1">
      <alignment horizontal="center"/>
    </xf>
    <xf numFmtId="0" fontId="13" fillId="0" borderId="0" xfId="0" applyFont="1"/>
    <xf numFmtId="4" fontId="9" fillId="0" borderId="2" xfId="0" applyNumberFormat="1" applyFont="1" applyBorder="1" applyAlignment="1" applyProtection="1">
      <alignment horizontal="center"/>
      <protection locked="0"/>
    </xf>
    <xf numFmtId="4" fontId="9" fillId="0" borderId="3" xfId="0" applyNumberFormat="1" applyFont="1" applyBorder="1" applyAlignment="1" applyProtection="1">
      <alignment horizontal="center"/>
      <protection locked="0"/>
    </xf>
    <xf numFmtId="4" fontId="10" fillId="0" borderId="2" xfId="0" applyNumberFormat="1" applyFont="1" applyBorder="1" applyAlignment="1" applyProtection="1">
      <alignment horizontal="center"/>
      <protection locked="0"/>
    </xf>
    <xf numFmtId="4" fontId="10" fillId="0" borderId="3" xfId="0" applyNumberFormat="1" applyFont="1" applyBorder="1" applyAlignment="1" applyProtection="1">
      <alignment horizontal="center"/>
      <protection locked="0"/>
    </xf>
    <xf numFmtId="3" fontId="16" fillId="2" borderId="0" xfId="0" applyNumberFormat="1" applyFont="1" applyFill="1" applyAlignment="1">
      <alignment horizontal="center"/>
    </xf>
    <xf numFmtId="4" fontId="9" fillId="2" borderId="0" xfId="0" applyNumberFormat="1" applyFont="1" applyFill="1" applyBorder="1" applyAlignment="1" applyProtection="1">
      <alignment horizontal="center"/>
      <protection locked="0"/>
    </xf>
    <xf numFmtId="4" fontId="10" fillId="2" borderId="0" xfId="0" applyNumberFormat="1" applyFont="1" applyFill="1" applyBorder="1" applyAlignment="1" applyProtection="1">
      <alignment horizontal="center"/>
      <protection locked="0"/>
    </xf>
    <xf numFmtId="49" fontId="5" fillId="2" borderId="0" xfId="0" applyNumberFormat="1" applyFont="1" applyFill="1"/>
    <xf numFmtId="0" fontId="3" fillId="2" borderId="0" xfId="0" applyFont="1" applyFill="1"/>
    <xf numFmtId="3" fontId="9" fillId="2" borderId="0" xfId="0" applyNumberFormat="1" applyFont="1" applyFill="1" applyBorder="1" applyAlignment="1" applyProtection="1">
      <alignment horizontal="center"/>
      <protection locked="0"/>
    </xf>
    <xf numFmtId="4" fontId="0" fillId="0" borderId="5" xfId="0" applyNumberFormat="1" applyBorder="1" applyAlignment="1">
      <alignment horizontal="center" vertical="center"/>
    </xf>
    <xf numFmtId="9" fontId="5" fillId="0" borderId="0" xfId="0" applyNumberFormat="1" applyFont="1" applyAlignment="1">
      <alignment horizontal="center" wrapText="1"/>
    </xf>
    <xf numFmtId="0" fontId="0" fillId="0" borderId="0" xfId="0" applyFill="1" applyAlignment="1">
      <alignment horizontal="center"/>
    </xf>
    <xf numFmtId="3" fontId="11" fillId="2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4" fontId="0" fillId="0" borderId="1" xfId="0" applyNumberForma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0" fontId="0" fillId="0" borderId="1" xfId="0" applyBorder="1" applyAlignment="1"/>
    <xf numFmtId="4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49" fontId="2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0" borderId="0" xfId="0" applyAlignment="1"/>
    <xf numFmtId="0" fontId="8" fillId="0" borderId="0" xfId="0" applyFont="1" applyAlignment="1">
      <alignment horizontal="left" wrapText="1"/>
    </xf>
    <xf numFmtId="4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4" fontId="1" fillId="0" borderId="6" xfId="0" applyNumberFormat="1" applyFont="1" applyBorder="1" applyAlignment="1">
      <alignment horizontal="center"/>
    </xf>
    <xf numFmtId="0" fontId="0" fillId="0" borderId="0" xfId="0" applyAlignment="1">
      <alignment horizontal="right"/>
    </xf>
  </cellXfs>
  <cellStyles count="1">
    <cellStyle name="Normal" xfId="0" builtinId="0"/>
  </cellStyles>
  <dxfs count="7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48"/>
      </font>
      <fill>
        <patternFill patternType="none">
          <bgColor indexed="65"/>
        </patternFill>
      </fill>
    </dxf>
    <dxf>
      <font>
        <condense val="0"/>
        <extend val="0"/>
        <color indexed="22"/>
      </font>
      <fill>
        <patternFill patternType="solid"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H30"/>
  <sheetViews>
    <sheetView tabSelected="1" workbookViewId="0">
      <selection activeCell="L14" sqref="L14"/>
    </sheetView>
  </sheetViews>
  <sheetFormatPr defaultRowHeight="12.75" x14ac:dyDescent="0.2"/>
  <cols>
    <col min="2" max="2" width="24" customWidth="1"/>
    <col min="3" max="3" width="13.5703125" customWidth="1"/>
    <col min="4" max="4" width="3.140625" customWidth="1"/>
    <col min="5" max="5" width="14.7109375" customWidth="1"/>
    <col min="6" max="6" width="3.140625" customWidth="1"/>
    <col min="7" max="7" width="14.5703125" customWidth="1"/>
    <col min="8" max="8" width="3.140625" customWidth="1"/>
  </cols>
  <sheetData>
    <row r="1" spans="1:8" ht="20.25" x14ac:dyDescent="0.3">
      <c r="A1" s="56" t="s">
        <v>97</v>
      </c>
      <c r="E1" s="68"/>
      <c r="G1" s="68"/>
    </row>
    <row r="2" spans="1:8" ht="15.75" customHeight="1" x14ac:dyDescent="0.2">
      <c r="A2" s="71" t="s">
        <v>81</v>
      </c>
      <c r="B2" s="71"/>
      <c r="C2" s="72" t="s">
        <v>58</v>
      </c>
      <c r="D2" s="24"/>
      <c r="E2" s="72" t="s">
        <v>108</v>
      </c>
      <c r="F2" s="24"/>
      <c r="G2" s="72" t="s">
        <v>109</v>
      </c>
      <c r="H2" s="24"/>
    </row>
    <row r="3" spans="1:8" ht="45.75" customHeight="1" x14ac:dyDescent="0.2">
      <c r="A3" s="24"/>
      <c r="B3" s="24"/>
      <c r="C3" s="72"/>
      <c r="D3" s="24"/>
      <c r="E3" s="72"/>
      <c r="F3" s="24"/>
      <c r="G3" s="72"/>
      <c r="H3" s="24"/>
    </row>
    <row r="4" spans="1:8" ht="13.5" thickBot="1" x14ac:dyDescent="0.25">
      <c r="A4" s="11" t="s">
        <v>40</v>
      </c>
      <c r="C4" s="35"/>
      <c r="D4" s="24"/>
      <c r="E4" s="57"/>
      <c r="F4" s="24"/>
      <c r="G4" s="59"/>
      <c r="H4" s="24"/>
    </row>
    <row r="5" spans="1:8" x14ac:dyDescent="0.2">
      <c r="A5" s="24"/>
      <c r="B5" s="24"/>
      <c r="C5" s="24"/>
      <c r="D5" s="24"/>
      <c r="E5" s="33"/>
      <c r="F5" s="24"/>
      <c r="G5" s="32"/>
      <c r="H5" s="24"/>
    </row>
    <row r="6" spans="1:8" x14ac:dyDescent="0.2">
      <c r="A6" s="11" t="s">
        <v>41</v>
      </c>
      <c r="C6" s="25"/>
      <c r="D6" s="24"/>
      <c r="E6" s="33"/>
      <c r="F6" s="24"/>
      <c r="G6" s="32"/>
      <c r="H6" s="24"/>
    </row>
    <row r="7" spans="1:8" ht="15" thickBot="1" x14ac:dyDescent="0.25">
      <c r="B7" s="12" t="s">
        <v>42</v>
      </c>
      <c r="C7" s="35"/>
      <c r="D7" s="24"/>
      <c r="E7" s="57"/>
      <c r="F7" s="24"/>
      <c r="G7" s="59"/>
      <c r="H7" s="24"/>
    </row>
    <row r="8" spans="1:8" ht="15" thickBot="1" x14ac:dyDescent="0.25">
      <c r="B8" s="12" t="s">
        <v>43</v>
      </c>
      <c r="C8" s="36"/>
      <c r="D8" s="24"/>
      <c r="E8" s="58"/>
      <c r="F8" s="24"/>
      <c r="G8" s="60"/>
      <c r="H8" s="24"/>
    </row>
    <row r="9" spans="1:8" x14ac:dyDescent="0.2">
      <c r="A9" s="24"/>
      <c r="B9" s="24"/>
      <c r="C9" s="24"/>
      <c r="D9" s="24"/>
      <c r="E9" s="61">
        <f>IF(E8+E7=0,0,E8+E7)</f>
        <v>0</v>
      </c>
      <c r="F9" s="24"/>
      <c r="G9" s="61">
        <f>IF(G8+G7=0,0,G8+G7)</f>
        <v>0</v>
      </c>
      <c r="H9" s="24"/>
    </row>
    <row r="10" spans="1:8" ht="13.5" thickBot="1" x14ac:dyDescent="0.25">
      <c r="A10" s="11" t="s">
        <v>45</v>
      </c>
      <c r="C10" s="35"/>
      <c r="D10" s="24"/>
      <c r="E10" s="57"/>
      <c r="F10" s="24"/>
      <c r="G10" s="59"/>
      <c r="H10" s="24"/>
    </row>
    <row r="11" spans="1:8" x14ac:dyDescent="0.2">
      <c r="A11" s="65"/>
      <c r="B11" s="24"/>
      <c r="C11" s="66"/>
      <c r="D11" s="24"/>
      <c r="E11" s="62"/>
      <c r="F11" s="24"/>
      <c r="G11" s="63"/>
      <c r="H11" s="24"/>
    </row>
    <row r="12" spans="1:8" x14ac:dyDescent="0.2">
      <c r="A12" s="24"/>
      <c r="B12" s="69" t="s">
        <v>98</v>
      </c>
      <c r="C12" s="69"/>
      <c r="D12" s="69"/>
      <c r="E12" s="69"/>
      <c r="F12" s="69"/>
      <c r="G12" s="69"/>
      <c r="H12" s="24"/>
    </row>
    <row r="13" spans="1:8" x14ac:dyDescent="0.2">
      <c r="A13" s="24"/>
      <c r="B13" s="24"/>
      <c r="C13" s="70"/>
      <c r="D13" s="70"/>
      <c r="E13" s="34"/>
      <c r="F13" s="38"/>
      <c r="G13" s="34"/>
      <c r="H13" s="38"/>
    </row>
    <row r="14" spans="1:8" ht="13.5" thickBot="1" x14ac:dyDescent="0.25">
      <c r="A14" s="23" t="s">
        <v>110</v>
      </c>
      <c r="C14" s="25"/>
      <c r="D14" s="24"/>
      <c r="E14" s="57"/>
      <c r="F14" s="24"/>
      <c r="G14" s="59"/>
      <c r="H14" s="24"/>
    </row>
    <row r="15" spans="1:8" x14ac:dyDescent="0.2">
      <c r="A15" s="23" t="s">
        <v>111</v>
      </c>
      <c r="C15" s="25"/>
      <c r="D15" s="24"/>
      <c r="E15" s="48"/>
      <c r="F15" s="24"/>
      <c r="G15" s="55"/>
      <c r="H15" s="24"/>
    </row>
    <row r="16" spans="1:8" x14ac:dyDescent="0.2">
      <c r="A16" s="64"/>
      <c r="B16" s="24"/>
      <c r="C16" s="25"/>
      <c r="D16" s="24"/>
      <c r="E16" s="62"/>
      <c r="F16" s="24"/>
      <c r="G16" s="55"/>
      <c r="H16" s="24"/>
    </row>
    <row r="17" spans="1:8" x14ac:dyDescent="0.2">
      <c r="A17" s="23" t="s">
        <v>105</v>
      </c>
      <c r="C17" s="25"/>
      <c r="D17" s="24"/>
      <c r="E17" s="25"/>
      <c r="F17" s="24"/>
      <c r="G17" s="32"/>
      <c r="H17" s="24"/>
    </row>
    <row r="18" spans="1:8" ht="26.25" thickBot="1" x14ac:dyDescent="0.25">
      <c r="A18" s="23"/>
      <c r="B18" s="26" t="s">
        <v>57</v>
      </c>
      <c r="C18" s="25"/>
      <c r="D18" s="24"/>
      <c r="E18" s="49"/>
      <c r="F18" s="24"/>
      <c r="G18" s="32"/>
      <c r="H18" s="24"/>
    </row>
    <row r="19" spans="1:8" ht="39" thickBot="1" x14ac:dyDescent="0.25">
      <c r="A19" s="23"/>
      <c r="B19" s="26" t="s">
        <v>67</v>
      </c>
      <c r="C19" s="25"/>
      <c r="D19" s="24"/>
      <c r="E19" s="58"/>
      <c r="F19" s="24"/>
      <c r="G19" s="32"/>
      <c r="H19" s="24"/>
    </row>
    <row r="20" spans="1:8" x14ac:dyDescent="0.2">
      <c r="A20" s="24"/>
      <c r="B20" s="24"/>
      <c r="C20" s="25"/>
      <c r="D20" s="24"/>
      <c r="E20" s="25"/>
      <c r="F20" s="24"/>
      <c r="G20" s="32"/>
      <c r="H20" s="24"/>
    </row>
    <row r="21" spans="1:8" x14ac:dyDescent="0.2">
      <c r="A21" s="40" t="s">
        <v>59</v>
      </c>
      <c r="D21" s="39"/>
      <c r="E21" s="24"/>
      <c r="F21" s="25"/>
      <c r="G21" s="25"/>
      <c r="H21" s="25"/>
    </row>
    <row r="22" spans="1:8" ht="13.5" thickBot="1" x14ac:dyDescent="0.25">
      <c r="A22" s="10"/>
      <c r="B22" t="s">
        <v>60</v>
      </c>
      <c r="C22" s="37"/>
      <c r="D22" s="25"/>
      <c r="E22" s="25"/>
      <c r="F22" s="25"/>
      <c r="G22" s="25"/>
      <c r="H22" s="25"/>
    </row>
    <row r="23" spans="1:8" ht="13.5" thickBot="1" x14ac:dyDescent="0.25">
      <c r="B23" t="s">
        <v>61</v>
      </c>
      <c r="C23" s="37"/>
      <c r="D23" s="25"/>
      <c r="E23" s="25"/>
      <c r="F23" s="25"/>
      <c r="G23" s="25"/>
      <c r="H23" s="25"/>
    </row>
    <row r="24" spans="1:8" x14ac:dyDescent="0.2">
      <c r="A24" s="25"/>
      <c r="B24" s="25"/>
      <c r="C24" s="25"/>
      <c r="D24" s="25"/>
      <c r="E24" s="25"/>
      <c r="F24" s="25"/>
      <c r="G24" s="25"/>
      <c r="H24" s="25"/>
    </row>
    <row r="26" spans="1:8" x14ac:dyDescent="0.2">
      <c r="A26" s="89" t="s">
        <v>112</v>
      </c>
      <c r="B26" t="s">
        <v>113</v>
      </c>
    </row>
    <row r="27" spans="1:8" x14ac:dyDescent="0.2">
      <c r="B27" t="s">
        <v>114</v>
      </c>
    </row>
    <row r="28" spans="1:8" x14ac:dyDescent="0.2">
      <c r="B28" t="s">
        <v>115</v>
      </c>
    </row>
    <row r="29" spans="1:8" x14ac:dyDescent="0.2">
      <c r="A29" s="89" t="s">
        <v>116</v>
      </c>
      <c r="B29" t="s">
        <v>117</v>
      </c>
    </row>
    <row r="30" spans="1:8" x14ac:dyDescent="0.2">
      <c r="B30" t="s">
        <v>118</v>
      </c>
    </row>
  </sheetData>
  <sheetProtection algorithmName="SHA-512" hashValue="GVmpXUw1JPd9w9mLPiEv5VgvtaKGnRb2UDmubsmcaeGdaqHPo/jUux6emhqhJdXTIiq26TRo9kb18Xehp8OsGQ==" saltValue="8JNhI527Apdh16gDptBetw==" spinCount="100000" sheet="1" objects="1" scenarios="1"/>
  <mergeCells count="6">
    <mergeCell ref="B12:G12"/>
    <mergeCell ref="C13:D13"/>
    <mergeCell ref="A2:B2"/>
    <mergeCell ref="E2:E3"/>
    <mergeCell ref="G2:G3"/>
    <mergeCell ref="C2:C3"/>
  </mergeCells>
  <phoneticPr fontId="0" type="noConversion"/>
  <conditionalFormatting sqref="F13 H13">
    <cfRule type="expression" dxfId="6" priority="1" stopIfTrue="1">
      <formula>E10=0</formula>
    </cfRule>
    <cfRule type="expression" dxfId="5" priority="2" stopIfTrue="1">
      <formula>E13="Grade 7 thru"</formula>
    </cfRule>
    <cfRule type="expression" dxfId="4" priority="3" stopIfTrue="1">
      <formula>E10&gt;99.99</formula>
    </cfRule>
  </conditionalFormatting>
  <pageMargins left="0.75" right="0.75" top="1" bottom="1" header="0.5" footer="0.5"/>
  <pageSetup orientation="portrait" r:id="rId1"/>
  <headerFooter alignWithMargins="0">
    <oddFooter>&amp;L&amp;F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zoomScale="90" zoomScaleNormal="100" workbookViewId="0">
      <selection activeCell="J22" sqref="J22:K22"/>
    </sheetView>
  </sheetViews>
  <sheetFormatPr defaultRowHeight="12.75" x14ac:dyDescent="0.2"/>
  <cols>
    <col min="1" max="1" width="4.140625" style="3" customWidth="1"/>
    <col min="2" max="2" width="2.5703125" customWidth="1"/>
    <col min="5" max="5" width="5.85546875" customWidth="1"/>
    <col min="6" max="6" width="8.85546875" customWidth="1"/>
    <col min="7" max="7" width="3.140625" customWidth="1"/>
    <col min="8" max="8" width="10.140625" customWidth="1"/>
    <col min="9" max="9" width="3.85546875" customWidth="1"/>
    <col min="10" max="10" width="8.140625" customWidth="1"/>
    <col min="11" max="11" width="6.28515625" customWidth="1"/>
    <col min="12" max="12" width="5.5703125" customWidth="1"/>
    <col min="13" max="13" width="10.7109375" customWidth="1"/>
    <col min="14" max="14" width="8.140625" customWidth="1"/>
    <col min="15" max="15" width="12.28515625" customWidth="1"/>
    <col min="16" max="16" width="10.28515625" customWidth="1"/>
    <col min="17" max="17" width="9.140625" style="51" customWidth="1"/>
  </cols>
  <sheetData>
    <row r="1" spans="1:17" ht="14.25" customHeight="1" x14ac:dyDescent="0.25">
      <c r="P1" s="2"/>
    </row>
    <row r="2" spans="1:17" ht="15.75" x14ac:dyDescent="0.2">
      <c r="A2" s="77" t="s">
        <v>82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7" ht="15.75" x14ac:dyDescent="0.2">
      <c r="A3" s="77" t="s">
        <v>107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1:17" ht="7.5" customHeight="1" x14ac:dyDescent="0.2"/>
    <row r="5" spans="1:17" ht="31.5" customHeight="1" x14ac:dyDescent="0.2">
      <c r="A5" s="14" t="s">
        <v>39</v>
      </c>
      <c r="F5" s="45" t="s">
        <v>83</v>
      </c>
      <c r="H5" s="46" t="s">
        <v>87</v>
      </c>
      <c r="I5" s="16"/>
      <c r="J5" s="78" t="s">
        <v>88</v>
      </c>
      <c r="K5" s="79"/>
      <c r="M5" s="19" t="s">
        <v>84</v>
      </c>
      <c r="O5" s="44" t="s">
        <v>85</v>
      </c>
    </row>
    <row r="6" spans="1:17" ht="6.75" customHeight="1" x14ac:dyDescent="0.2"/>
    <row r="7" spans="1:17" ht="15.75" x14ac:dyDescent="0.25">
      <c r="B7" s="11" t="s">
        <v>40</v>
      </c>
      <c r="F7" s="41" t="str">
        <f>IF('Input Enrollment'!$E$4=0,"0",'Input Enrollment'!$E$4)</f>
        <v>0</v>
      </c>
      <c r="G7" s="31"/>
      <c r="J7" s="73" t="str">
        <f>IF('Input Enrollment'!$E$4=0,"0",'Input Enrollment'!$E$4)</f>
        <v>0</v>
      </c>
      <c r="K7" s="73"/>
      <c r="L7" s="17" t="s">
        <v>51</v>
      </c>
      <c r="M7" s="13">
        <f>IF('Input Enrollment'!E4=0,0,LOOKUP(J7,criteria!$A$3:$A$10,criteria!$B$3:$B$10))</f>
        <v>0</v>
      </c>
      <c r="N7" s="15" t="s">
        <v>15</v>
      </c>
      <c r="O7" s="41">
        <f>IF(Q7=0,0,IF(Q7&lt;LOOKUP(J7,criteria!$A$3:$A$10,criteria!$C$3:$C$10),LOOKUP(J7,criteria!$A$3:$A$10,criteria!$C$3:$C$10),IF(LOOKUP(J7,criteria!$A$3:$A$10,criteria!$C$3:$C$10)=0,0,Q7)))</f>
        <v>0</v>
      </c>
      <c r="P7" s="10" t="str">
        <f>IF('Input Enrollment'!E4=0," ",IF(O7=0,"ADD to 1-6",IF(O7=Q7," ","Minimum")))</f>
        <v xml:space="preserve"> </v>
      </c>
      <c r="Q7" s="51">
        <f>ROUND(IF('Input Enrollment'!E4=0,0,IF(M7=0,0,(J7/M7))),2)</f>
        <v>0</v>
      </c>
    </row>
    <row r="8" spans="1:17" ht="6.75" customHeight="1" x14ac:dyDescent="0.2">
      <c r="J8" s="30"/>
      <c r="K8" s="30"/>
      <c r="O8" s="30"/>
    </row>
    <row r="9" spans="1:17" x14ac:dyDescent="0.2">
      <c r="B9" s="11" t="s">
        <v>41</v>
      </c>
      <c r="J9" s="30"/>
      <c r="K9" s="30"/>
      <c r="O9" s="30"/>
    </row>
    <row r="10" spans="1:17" x14ac:dyDescent="0.2">
      <c r="B10" s="10" t="s">
        <v>86</v>
      </c>
      <c r="J10" s="30"/>
      <c r="K10" s="30"/>
      <c r="O10" s="30"/>
    </row>
    <row r="11" spans="1:17" ht="16.5" customHeight="1" x14ac:dyDescent="0.25">
      <c r="C11" s="12" t="s">
        <v>42</v>
      </c>
      <c r="F11" s="13" t="str">
        <f>IF(J11=0," ",IF($J$16&gt;300," ",'Input Enrollment'!E7))</f>
        <v xml:space="preserve"> </v>
      </c>
      <c r="G11" s="28" t="s">
        <v>92</v>
      </c>
      <c r="H11" s="41" t="str">
        <f>IF(J11=0," ",'Exceptional Child Calc'!H25)</f>
        <v xml:space="preserve"> </v>
      </c>
      <c r="I11" s="15" t="s">
        <v>15</v>
      </c>
      <c r="J11" s="73">
        <f>IF('Input Enrollment'!E7=0,0,IF(SUM('Input Enrollment'!E7-'Exceptional Child Calc'!H25)+SUM('Input Enrollment'!E8-'Exceptional Child Calc'!H26)&gt;299.99,SUM('Input Enrollment'!E7-'Exceptional Child Calc'!H25),0))</f>
        <v>0</v>
      </c>
      <c r="K11" s="73"/>
      <c r="L11" s="17" t="s">
        <v>51</v>
      </c>
      <c r="M11" s="13">
        <f>IF(SUM('Input Enrollment'!$E$7-'Exceptional Child Calc'!$H$25)+SUM('Input Enrollment'!$E$8-'Exceptional Child Calc'!$H$26)&gt;299.99,20,0)</f>
        <v>0</v>
      </c>
      <c r="N11" s="15" t="s">
        <v>15</v>
      </c>
      <c r="O11" s="41">
        <f>ROUND(IF(SUM('Input Enrollment'!$E$7-'Exceptional Child Calc'!$H$25)+SUM('Input Enrollment'!$E$8-'Exceptional Child Calc'!$H$26)&lt;299.99,0,IF(Q11+Q13&lt;15,0,(J11/M11))),2)</f>
        <v>0</v>
      </c>
      <c r="P11" t="str">
        <f>IF(O11=0," ",IF(O11=Q11," ","Minimum"))</f>
        <v xml:space="preserve"> </v>
      </c>
      <c r="Q11" s="51">
        <f>ROUND(IF(SUM('Input Enrollment'!$E$7-'Exceptional Child Calc'!$H$25)+SUM('Input Enrollment'!$E$8-'Exceptional Child Calc'!$H$26)&lt;299.99,0,(J11/M11)),2)</f>
        <v>0</v>
      </c>
    </row>
    <row r="12" spans="1:17" ht="9" customHeight="1" x14ac:dyDescent="0.2">
      <c r="B12" s="12"/>
      <c r="J12" s="30"/>
      <c r="K12" s="30"/>
      <c r="O12" s="30"/>
    </row>
    <row r="13" spans="1:17" ht="15.75" x14ac:dyDescent="0.25">
      <c r="C13" s="12" t="s">
        <v>43</v>
      </c>
      <c r="F13" s="13" t="str">
        <f>IF(J13=0," ",IF($J$16&gt;300," ",'Input Enrollment'!E8))</f>
        <v xml:space="preserve"> </v>
      </c>
      <c r="G13" s="28" t="s">
        <v>92</v>
      </c>
      <c r="H13" s="41" t="str">
        <f>IF(J13=0," ",'Exceptional Child Calc'!H26)</f>
        <v xml:space="preserve"> </v>
      </c>
      <c r="I13" s="15" t="s">
        <v>15</v>
      </c>
      <c r="J13" s="73">
        <f>IF('Input Enrollment'!E8=0,0,IF(SUM('Input Enrollment'!E7-'Exceptional Child Calc'!H25)+SUM('Input Enrollment'!E8-'Exceptional Child Calc'!H26)&gt;299.99,SUM('Input Enrollment'!E8-'Exceptional Child Calc'!H26),0))</f>
        <v>0</v>
      </c>
      <c r="K13" s="73"/>
      <c r="L13" s="17" t="s">
        <v>51</v>
      </c>
      <c r="M13" s="13">
        <f>IF(SUM('Input Enrollment'!$E$7-'Exceptional Child Calc'!$H$25)+SUM('Input Enrollment'!$E$8-'Exceptional Child Calc'!$H$26)&gt;299.99,23,0)</f>
        <v>0</v>
      </c>
      <c r="N13" s="15" t="s">
        <v>15</v>
      </c>
      <c r="O13" s="41">
        <f>ROUND(IF(SUM('Input Enrollment'!$E$7-'Exceptional Child Calc'!$H$25)+SUM('Input Enrollment'!$E$8-'Exceptional Child Calc'!$H$26)&lt;299.99,0,IF(Q11+Q13&lt;15,0,($J$13/$M$13))),2)</f>
        <v>0</v>
      </c>
      <c r="P13" t="str">
        <f>IF(O13=0," ",IF(O13=Q13," ","Minimum"))</f>
        <v xml:space="preserve"> </v>
      </c>
      <c r="Q13" s="51">
        <f>ROUND(IF(SUM('Input Enrollment'!$E$7-'Exceptional Child Calc'!$H$25)+SUM('Input Enrollment'!$E$8-'Exceptional Child Calc'!$H$26)&lt;299.99,0,($J$13/$M$13)),2)</f>
        <v>0</v>
      </c>
    </row>
    <row r="14" spans="1:17" ht="17.25" customHeight="1" x14ac:dyDescent="0.2">
      <c r="B14" s="11" t="s">
        <v>41</v>
      </c>
      <c r="F14" s="16"/>
      <c r="G14" s="28"/>
      <c r="H14" s="31"/>
      <c r="I14" s="15"/>
      <c r="J14" s="31"/>
      <c r="K14" s="31"/>
      <c r="M14" s="16"/>
      <c r="N14" s="15"/>
      <c r="O14" s="31"/>
    </row>
    <row r="15" spans="1:17" x14ac:dyDescent="0.2">
      <c r="B15" s="10" t="s">
        <v>96</v>
      </c>
      <c r="O15" s="50" t="str">
        <f>IF(P15="Minimum",15," ")</f>
        <v xml:space="preserve"> </v>
      </c>
      <c r="P15" t="str">
        <f>IF(Q11+Q13=0," ",IF(Q11+Q13&lt;15,"Minimum"," "))</f>
        <v xml:space="preserve"> </v>
      </c>
    </row>
    <row r="16" spans="1:17" ht="15.75" x14ac:dyDescent="0.25">
      <c r="C16" s="12" t="s">
        <v>44</v>
      </c>
      <c r="F16" s="13" t="str">
        <f>IF(J16=0," ",IF(J16&lt;300,SUM('Input Enrollment'!E7+'Input Enrollment'!E8)," "))</f>
        <v xml:space="preserve"> </v>
      </c>
      <c r="G16" s="28" t="s">
        <v>92</v>
      </c>
      <c r="H16" s="41" t="str">
        <f>IF(J16=0," ",'Exceptional Child Calc'!H22)</f>
        <v xml:space="preserve"> </v>
      </c>
      <c r="I16" s="15" t="s">
        <v>15</v>
      </c>
      <c r="J16" s="73">
        <f>IF('Input Enrollment'!E9=0,0,IF(SUM('Input Enrollment'!E7-'Exceptional Child Calc'!H25)+SUM('Input Enrollment'!E8-'Exceptional Child Calc'!H26)&lt;300,IF(P7="ADD to 1-6",SUM('Input Enrollment'!E7-'Exceptional Child Calc'!H25)+SUM('Input Enrollment'!E8-'Exceptional Child Calc'!H26)+'Input Enrollment'!E4,SUM('Input Enrollment'!E7-'Exceptional Child Calc'!H25)+SUM('Input Enrollment'!E8-'Exceptional Child Calc'!H26)),0))</f>
        <v>0</v>
      </c>
      <c r="K16" s="73"/>
      <c r="L16" s="17" t="s">
        <v>51</v>
      </c>
      <c r="M16" s="13">
        <f>IF(J16=0,0,LOOKUP(J16,criteria!$M$3:$M$11,criteria!$N$3:$N$11))</f>
        <v>0</v>
      </c>
      <c r="N16" s="15" t="s">
        <v>15</v>
      </c>
      <c r="O16" s="41">
        <f>IF(Q16=0,0,IF(Q16&lt;LOOKUP(J16,criteria!$M$3:$M$10,criteria!$O$3:$O$10),LOOKUP(J16,criteria!$M$3:$M$10,criteria!$O$3:$O$10),Q16))</f>
        <v>0</v>
      </c>
      <c r="P16" t="str">
        <f>IF(O16=0," ",IF(O16=Q16," ","Minimum"))</f>
        <v xml:space="preserve"> </v>
      </c>
      <c r="Q16" s="51">
        <f>ROUND(IF('Input Enrollment'!E9=0,0,IF(SUM('Input Enrollment'!$E$7-'Exceptional Child Calc'!$H$25)+SUM('Input Enrollment'!$E$8-'Exceptional Child Calc'!$H$26)&gt;299.99,0,(J16/M16))),2)</f>
        <v>0</v>
      </c>
    </row>
    <row r="17" spans="1:17" ht="6" customHeight="1" x14ac:dyDescent="0.2">
      <c r="J17" s="30"/>
      <c r="K17" s="30"/>
      <c r="O17" s="30"/>
    </row>
    <row r="18" spans="1:17" ht="15.75" x14ac:dyDescent="0.25">
      <c r="B18" s="11" t="s">
        <v>45</v>
      </c>
      <c r="F18" s="13" t="str">
        <f>IF(J18=0," ",'Input Enrollment'!E10)</f>
        <v xml:space="preserve"> </v>
      </c>
      <c r="G18" s="28" t="s">
        <v>92</v>
      </c>
      <c r="H18" s="41" t="str">
        <f>IF('Exceptional Child Calc'!$H$43=0," ",'Exceptional Child Calc'!$H$43)</f>
        <v xml:space="preserve"> </v>
      </c>
      <c r="I18" s="15" t="s">
        <v>15</v>
      </c>
      <c r="J18" s="73">
        <f>IF('Input Enrollment'!E10=0,0,SUM('Input Enrollment'!E10-'Exceptional Child Calc'!H43))</f>
        <v>0</v>
      </c>
      <c r="K18" s="73"/>
      <c r="L18" s="17" t="s">
        <v>51</v>
      </c>
      <c r="M18" s="13">
        <f>IF('Input Enrollment'!C10=0,0,IF(J18&gt;99.99,LOOKUP(J18,criteria!Q3:Q10,criteria!R3:R10),12))</f>
        <v>0</v>
      </c>
      <c r="N18" s="15" t="s">
        <v>15</v>
      </c>
      <c r="O18" s="41">
        <f>ROUND(IF(J18=0,0,IF(J18&lt;99.99,IF(M18=0,8,(J18/M18)),IF(Q18&lt;LOOKUP(J18,criteria!$Q$3:$Q$10,criteria!$S$3:$S$10),LOOKUP(J18,criteria!$Q$3:$Q$10,criteria!$S$3:$S$10),Q18))),2)</f>
        <v>0</v>
      </c>
      <c r="P18" t="str">
        <f>IF(O18=0," ",IF(O18=Q18," ","Minimum"))</f>
        <v xml:space="preserve"> </v>
      </c>
      <c r="Q18" s="51">
        <f>ROUND(IF(M18=0,0,(J18/M18)),2)</f>
        <v>0</v>
      </c>
    </row>
    <row r="19" spans="1:17" ht="9" customHeight="1" x14ac:dyDescent="0.2">
      <c r="B19" s="11"/>
      <c r="F19" s="16"/>
      <c r="G19" s="28"/>
      <c r="H19" s="31"/>
      <c r="I19" s="15"/>
      <c r="J19" s="31"/>
      <c r="K19" s="31"/>
      <c r="M19" s="16"/>
      <c r="N19" s="15"/>
      <c r="O19" s="16"/>
    </row>
    <row r="20" spans="1:17" ht="15" x14ac:dyDescent="0.2">
      <c r="A20" s="7" t="s">
        <v>73</v>
      </c>
      <c r="J20" s="30"/>
      <c r="K20" s="30"/>
    </row>
    <row r="21" spans="1:17" ht="3.75" customHeight="1" x14ac:dyDescent="0.2">
      <c r="J21" s="30"/>
      <c r="K21" s="30"/>
    </row>
    <row r="22" spans="1:17" x14ac:dyDescent="0.2">
      <c r="B22" t="s">
        <v>89</v>
      </c>
      <c r="J22" s="73" t="str">
        <f>IF('Exceptional Child Calc'!H55=0," ",'Exceptional Child Calc'!H55)</f>
        <v xml:space="preserve"> </v>
      </c>
      <c r="K22" s="73"/>
    </row>
    <row r="23" spans="1:17" ht="9" customHeight="1" x14ac:dyDescent="0.2">
      <c r="J23" s="30"/>
      <c r="K23" s="30"/>
    </row>
    <row r="24" spans="1:17" x14ac:dyDescent="0.2">
      <c r="B24" t="s">
        <v>90</v>
      </c>
      <c r="J24" s="73" t="str">
        <f>IF('Exceptional Child Calc'!H22=0," ",'Exceptional Child Calc'!H22)</f>
        <v xml:space="preserve"> </v>
      </c>
      <c r="K24" s="73"/>
    </row>
    <row r="25" spans="1:17" ht="9" customHeight="1" x14ac:dyDescent="0.2">
      <c r="J25" s="30"/>
      <c r="K25" s="30"/>
    </row>
    <row r="26" spans="1:17" x14ac:dyDescent="0.2">
      <c r="B26" t="s">
        <v>91</v>
      </c>
      <c r="J26" s="73" t="str">
        <f>IF('Exceptional Child Calc'!$H$43=0," ",'Exceptional Child Calc'!$H$43)</f>
        <v xml:space="preserve"> </v>
      </c>
      <c r="K26" s="73"/>
    </row>
    <row r="27" spans="1:17" ht="8.25" customHeight="1" x14ac:dyDescent="0.2">
      <c r="J27" s="30"/>
      <c r="K27" s="30"/>
    </row>
    <row r="28" spans="1:17" ht="6" customHeight="1" x14ac:dyDescent="0.2">
      <c r="J28" s="31"/>
      <c r="K28" s="31"/>
    </row>
    <row r="29" spans="1:17" ht="16.5" thickBot="1" x14ac:dyDescent="0.3">
      <c r="B29" s="1" t="s">
        <v>93</v>
      </c>
      <c r="J29" s="74">
        <f>SUM(J22:K27)</f>
        <v>0</v>
      </c>
      <c r="K29" s="74"/>
      <c r="L29" s="17" t="s">
        <v>51</v>
      </c>
      <c r="M29" s="13">
        <f>IF(SUM('Input Enrollment'!C4:C10)=0,0,IF(J29&gt;=14,LOOKUP(J29,criteria!$U$3:$U$10,criteria!$V$3:$V$10),0))</f>
        <v>0</v>
      </c>
      <c r="N29" s="15" t="s">
        <v>15</v>
      </c>
      <c r="O29" s="41">
        <f>IF(J29=0,0,IF(Q29&lt;LOOKUP(J29,criteria!$U$3:$U$10,criteria!$W$3:$W$10),LOOKUP(J29,criteria!$U$3:$U$10,criteria!$W$3:$W$10),Q29))</f>
        <v>0</v>
      </c>
      <c r="P29" t="str">
        <f>IF(O29=0," ",IF(O29=Q29," ","Minimum"))</f>
        <v xml:space="preserve"> </v>
      </c>
      <c r="Q29" s="51">
        <f>ROUND(IF(SUM('Input Enrollment'!C4:C10)=0,0,IF(M29=0,0,(J29/M29))),2)</f>
        <v>0</v>
      </c>
    </row>
    <row r="30" spans="1:17" ht="21" customHeight="1" thickTop="1" x14ac:dyDescent="0.2">
      <c r="B30" s="42"/>
      <c r="C30" s="42"/>
      <c r="D30" s="42"/>
      <c r="E30" s="42"/>
      <c r="F30" s="42"/>
      <c r="G30" s="42"/>
      <c r="H30" s="42"/>
      <c r="J30" s="12"/>
      <c r="N30" s="15"/>
      <c r="O30" s="16"/>
      <c r="P30" s="1"/>
    </row>
    <row r="31" spans="1:17" ht="19.5" customHeight="1" x14ac:dyDescent="0.25">
      <c r="A31" s="4" t="s">
        <v>106</v>
      </c>
    </row>
    <row r="32" spans="1:17" ht="15.75" x14ac:dyDescent="0.25">
      <c r="B32" s="75" t="str">
        <f>IF('Input Enrollment'!E14=0," ","Alternative Secondary High School")</f>
        <v xml:space="preserve"> </v>
      </c>
      <c r="C32" s="75"/>
      <c r="D32" s="75"/>
      <c r="E32" s="75"/>
      <c r="F32" s="75"/>
      <c r="G32" s="75"/>
      <c r="H32" s="5"/>
      <c r="I32" s="5"/>
      <c r="J32" s="73">
        <f>'Input Enrollment'!E14</f>
        <v>0</v>
      </c>
      <c r="K32" s="73"/>
      <c r="L32" s="17" t="s">
        <v>51</v>
      </c>
      <c r="M32" s="13">
        <f>IF(J32=0,0,IF(Q32&lt;1,M18,12))</f>
        <v>0</v>
      </c>
      <c r="N32" s="15" t="s">
        <v>15</v>
      </c>
      <c r="O32" s="41">
        <f>ROUND(IF(J32=0,0,J32/M32),2)</f>
        <v>0</v>
      </c>
      <c r="P32" s="7"/>
      <c r="Q32" s="51">
        <f>ROUND(IF(J32=0,0,J32/12),2)</f>
        <v>0</v>
      </c>
    </row>
    <row r="33" spans="1:17" ht="11.25" customHeight="1" x14ac:dyDescent="0.2">
      <c r="J33" s="30"/>
      <c r="K33" s="30"/>
      <c r="O33" s="30"/>
    </row>
    <row r="34" spans="1:17" ht="11.25" customHeight="1" x14ac:dyDescent="0.25">
      <c r="B34" s="75" t="str">
        <f>IF('Input Enrollment'!E15=0," ","Summer Alternative Secondary High School")</f>
        <v xml:space="preserve"> </v>
      </c>
      <c r="C34" s="75"/>
      <c r="D34" s="75"/>
      <c r="E34" s="75"/>
      <c r="F34" s="75"/>
      <c r="G34" s="75"/>
      <c r="J34" s="73">
        <f>'Input Enrollment'!E15</f>
        <v>0</v>
      </c>
      <c r="K34" s="73"/>
      <c r="L34" s="17" t="s">
        <v>51</v>
      </c>
      <c r="M34" s="13">
        <f>IF(J34=0,0,40)</f>
        <v>0</v>
      </c>
      <c r="N34" s="15" t="s">
        <v>15</v>
      </c>
      <c r="O34" s="41">
        <f>ROUND(IF(J34=0,0,J34/M34),2)</f>
        <v>0</v>
      </c>
      <c r="P34" s="7"/>
      <c r="Q34" s="51">
        <f>ROUND(IF(J34=0,0,J34/12),2)</f>
        <v>0</v>
      </c>
    </row>
    <row r="35" spans="1:17" ht="13.5" customHeight="1" x14ac:dyDescent="0.25">
      <c r="J35" s="16"/>
      <c r="K35" s="16"/>
      <c r="L35" s="17"/>
      <c r="M35" s="16"/>
      <c r="N35" s="15"/>
      <c r="O35" s="16"/>
      <c r="P35" s="1"/>
    </row>
    <row r="36" spans="1:17" ht="18.75" customHeight="1" thickBot="1" x14ac:dyDescent="0.25">
      <c r="A36" s="7"/>
      <c r="B36" s="12" t="s">
        <v>104</v>
      </c>
      <c r="C36" s="1"/>
      <c r="D36" s="1"/>
      <c r="E36" s="1"/>
      <c r="F36" s="1"/>
      <c r="G36" s="1"/>
      <c r="H36" s="1"/>
      <c r="I36" s="1"/>
      <c r="J36" s="1"/>
      <c r="K36" s="1"/>
      <c r="M36" s="18" t="s">
        <v>15</v>
      </c>
      <c r="N36" s="76">
        <f>ROUND(IF(SUM(O7:O34)=0,0,SUM(O7:O34)),2)</f>
        <v>0</v>
      </c>
      <c r="O36" s="76"/>
    </row>
    <row r="37" spans="1:17" ht="13.5" thickTop="1" x14ac:dyDescent="0.2"/>
  </sheetData>
  <sheetProtection password="CC16" sheet="1" objects="1" scenarios="1"/>
  <mergeCells count="17">
    <mergeCell ref="N36:O36"/>
    <mergeCell ref="J22:K22"/>
    <mergeCell ref="J24:K24"/>
    <mergeCell ref="J26:K26"/>
    <mergeCell ref="A2:O2"/>
    <mergeCell ref="A3:O3"/>
    <mergeCell ref="J13:K13"/>
    <mergeCell ref="J16:K16"/>
    <mergeCell ref="J5:K5"/>
    <mergeCell ref="J11:K11"/>
    <mergeCell ref="J7:K7"/>
    <mergeCell ref="J18:K18"/>
    <mergeCell ref="J29:K29"/>
    <mergeCell ref="B34:G34"/>
    <mergeCell ref="J34:K34"/>
    <mergeCell ref="B32:G32"/>
    <mergeCell ref="J32:K32"/>
  </mergeCells>
  <phoneticPr fontId="0" type="noConversion"/>
  <pageMargins left="0.5" right="0.5" top="0.5" bottom="0.5" header="0.25" footer="0.25"/>
  <pageSetup scale="81" orientation="portrait" r:id="rId1"/>
  <headerFooter alignWithMargins="0">
    <oddFooter>&amp;L&amp;F</oddFooter>
  </headerFooter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showGridLines="0" zoomScale="90" zoomScaleNormal="100" workbookViewId="0">
      <selection activeCell="H9" sqref="H9"/>
    </sheetView>
  </sheetViews>
  <sheetFormatPr defaultRowHeight="12.75" x14ac:dyDescent="0.2"/>
  <cols>
    <col min="1" max="1" width="4.140625" style="3" customWidth="1"/>
    <col min="2" max="2" width="2.5703125" customWidth="1"/>
    <col min="7" max="7" width="4.5703125" customWidth="1"/>
    <col min="8" max="8" width="10.140625" customWidth="1"/>
    <col min="9" max="9" width="3.140625" customWidth="1"/>
    <col min="11" max="11" width="6.28515625" customWidth="1"/>
    <col min="12" max="12" width="3.85546875" customWidth="1"/>
    <col min="13" max="13" width="10.7109375" customWidth="1"/>
    <col min="14" max="14" width="4.140625" customWidth="1"/>
    <col min="15" max="15" width="12.28515625" customWidth="1"/>
    <col min="16" max="16" width="10.28515625" customWidth="1"/>
    <col min="17" max="17" width="9.140625" style="51" customWidth="1"/>
  </cols>
  <sheetData>
    <row r="1" spans="1:18" ht="14.25" customHeight="1" x14ac:dyDescent="0.2">
      <c r="A1" s="77" t="s">
        <v>82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43"/>
      <c r="Q1" s="52"/>
      <c r="R1" s="43"/>
    </row>
    <row r="2" spans="1:18" ht="15.75" x14ac:dyDescent="0.2">
      <c r="A2" s="77" t="s">
        <v>107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43"/>
      <c r="Q2" s="52"/>
      <c r="R2" s="43"/>
    </row>
    <row r="3" spans="1:18" ht="15.75" x14ac:dyDescent="0.25">
      <c r="A3" s="80" t="s">
        <v>94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</row>
    <row r="4" spans="1:18" ht="39" customHeight="1" x14ac:dyDescent="0.2">
      <c r="A4" s="14" t="s">
        <v>39</v>
      </c>
      <c r="F4" s="45" t="s">
        <v>83</v>
      </c>
      <c r="H4" s="46" t="s">
        <v>87</v>
      </c>
      <c r="I4" s="16"/>
      <c r="J4" s="78" t="s">
        <v>88</v>
      </c>
      <c r="K4" s="79"/>
      <c r="M4" s="19" t="s">
        <v>84</v>
      </c>
      <c r="O4" s="44" t="s">
        <v>85</v>
      </c>
    </row>
    <row r="5" spans="1:18" ht="6.75" customHeight="1" x14ac:dyDescent="0.2"/>
    <row r="6" spans="1:18" ht="15.75" x14ac:dyDescent="0.25">
      <c r="B6" s="11" t="s">
        <v>40</v>
      </c>
      <c r="F6" s="41" t="str">
        <f>IF('Input Enrollment'!$E$4=0,"0",'Input Enrollment'!$E$4)</f>
        <v>0</v>
      </c>
      <c r="J6" s="73" t="str">
        <f>IF('Input Enrollment'!E4=0,"0",'Input Enrollment'!E4)</f>
        <v>0</v>
      </c>
      <c r="K6" s="73"/>
      <c r="L6" s="17" t="s">
        <v>51</v>
      </c>
      <c r="M6" s="13">
        <f>IF('Input Enrollment'!E4=0,0,LOOKUP(J6,criteria!$A$3:$A$10,criteria!$B$3:$B$10))</f>
        <v>0</v>
      </c>
      <c r="N6" s="15" t="s">
        <v>15</v>
      </c>
      <c r="O6" s="41">
        <f>IF(Q6=0,0,IF(Q6&lt;LOOKUP(J6,criteria!$A$3:$A$10,criteria!$C$3:$C$10),LOOKUP(J6,criteria!$A$3:$A$10,criteria!$C$3:$C$10),IF(LOOKUP(J6,criteria!$A$3:$A$10,criteria!$C$3:$C$10)=0,0,Q6)))</f>
        <v>0</v>
      </c>
      <c r="P6" s="10" t="str">
        <f>IF('Input Enrollment'!E4=0," ",IF(O6=0,"ADD to 1-6",IF(O6=Q6," ","Minimum")))</f>
        <v xml:space="preserve"> </v>
      </c>
      <c r="Q6" s="51">
        <f>ROUND(IF('Input Enrollment'!E4=0,0,IF(M6=0,0,(J6/M6))),2)</f>
        <v>0</v>
      </c>
    </row>
    <row r="7" spans="1:18" ht="6.75" customHeight="1" x14ac:dyDescent="0.2">
      <c r="J7" s="30"/>
      <c r="K7" s="30"/>
    </row>
    <row r="8" spans="1:18" x14ac:dyDescent="0.2">
      <c r="B8" s="11" t="s">
        <v>41</v>
      </c>
      <c r="J8" s="30"/>
      <c r="K8" s="30"/>
    </row>
    <row r="9" spans="1:18" x14ac:dyDescent="0.2">
      <c r="B9" s="10" t="s">
        <v>86</v>
      </c>
      <c r="J9" s="30"/>
      <c r="K9" s="30"/>
    </row>
    <row r="10" spans="1:18" ht="16.5" customHeight="1" x14ac:dyDescent="0.25">
      <c r="C10" s="12" t="s">
        <v>42</v>
      </c>
      <c r="F10" s="13" t="str">
        <f>IF(J10=0," ",IF($J$15&gt;300," ",'Input Enrollment'!E7))</f>
        <v xml:space="preserve"> </v>
      </c>
      <c r="G10" s="28" t="s">
        <v>92</v>
      </c>
      <c r="H10" s="41" t="str">
        <f>IF(J10=0," ",'Exceptional Child Calc'!H25)</f>
        <v xml:space="preserve"> </v>
      </c>
      <c r="I10" s="15" t="s">
        <v>15</v>
      </c>
      <c r="J10" s="73">
        <f>IF('Input Enrollment'!E7=0,0,IF(SUM('Input Enrollment'!E7-'Exceptional Child Calc'!H25)+SUM('Input Enrollment'!E8-'Exceptional Child Calc'!H26)&gt;299.99,SUM('Input Enrollment'!E7-'Exceptional Child Calc'!H25),0))</f>
        <v>0</v>
      </c>
      <c r="K10" s="73"/>
      <c r="L10" s="17" t="s">
        <v>51</v>
      </c>
      <c r="M10" s="13">
        <f>IF(SUM('Input Enrollment'!$E$7-'Exceptional Child Calc'!$H$25)+SUM('Input Enrollment'!$E$8-'Exceptional Child Calc'!$H$26)&gt;299.99,20,0)</f>
        <v>0</v>
      </c>
      <c r="N10" s="15" t="s">
        <v>15</v>
      </c>
      <c r="O10" s="13">
        <f>ROUND(IF(SUM('Input Enrollment'!$E$7-'Exceptional Child Calc'!$H$25)+SUM('Input Enrollment'!$E$8-'Exceptional Child Calc'!$H$26)&lt;299.99,0,IF(Q10+Q12&lt;15,0,(J10/M10))),2)</f>
        <v>0</v>
      </c>
      <c r="P10" t="str">
        <f>IF(O10=0," ",IF(O10=Q10," ","Minimum"))</f>
        <v xml:space="preserve"> </v>
      </c>
      <c r="Q10" s="51">
        <f>ROUND(IF(SUM('Input Enrollment'!$E$7-'Exceptional Child Calc'!$H$25)+SUM('Input Enrollment'!$E$8-'Exceptional Child Calc'!$H$26)&lt;299.99,0,(J10/M10)),2)</f>
        <v>0</v>
      </c>
    </row>
    <row r="11" spans="1:18" ht="10.5" customHeight="1" x14ac:dyDescent="0.2">
      <c r="B11" s="12"/>
      <c r="J11" s="30"/>
      <c r="K11" s="30"/>
    </row>
    <row r="12" spans="1:18" ht="15.75" x14ac:dyDescent="0.25">
      <c r="C12" s="12" t="s">
        <v>43</v>
      </c>
      <c r="F12" s="13" t="str">
        <f>IF(J12=0," ",IF($J$15&gt;300," ",'Input Enrollment'!E8))</f>
        <v xml:space="preserve"> </v>
      </c>
      <c r="G12" s="28" t="s">
        <v>92</v>
      </c>
      <c r="H12" s="41" t="str">
        <f>IF(J12=0," ",'Exceptional Child Calc'!H26)</f>
        <v xml:space="preserve"> </v>
      </c>
      <c r="I12" s="15" t="s">
        <v>15</v>
      </c>
      <c r="J12" s="73">
        <f>IF('Input Enrollment'!E8=0,0,IF(SUM('Input Enrollment'!E7-'Exceptional Child Calc'!H25)+SUM('Input Enrollment'!E8-'Exceptional Child Calc'!H26)&gt;299.99,SUM('Input Enrollment'!E8-'Exceptional Child Calc'!H26),0))</f>
        <v>0</v>
      </c>
      <c r="K12" s="73"/>
      <c r="L12" s="17" t="s">
        <v>51</v>
      </c>
      <c r="M12" s="13">
        <f>IF(SUM('Input Enrollment'!$E$7-'Exceptional Child Calc'!$H$25)+SUM('Input Enrollment'!$E$8-'Exceptional Child Calc'!$H$26)&gt;299.99,23,0)</f>
        <v>0</v>
      </c>
      <c r="N12" s="15" t="s">
        <v>15</v>
      </c>
      <c r="O12" s="13">
        <f>ROUND(IF(SUM('Input Enrollment'!$E$7-'Exceptional Child Calc'!$H$25)+SUM('Input Enrollment'!$E$8-'Exceptional Child Calc'!$H$26)&lt;299.99,0,IF(Q10+Q12&lt;15,0,($J$12/$M$12))),2)</f>
        <v>0</v>
      </c>
      <c r="P12" t="str">
        <f>IF(O12=0," ",IF(O12=Q12," ","Minimum"))</f>
        <v xml:space="preserve"> </v>
      </c>
      <c r="Q12" s="51">
        <f>ROUND(IF(SUM('Input Enrollment'!$E$7-'Exceptional Child Calc'!$H$25)+SUM('Input Enrollment'!$E$8-'Exceptional Child Calc'!$H$26)&lt;299.99,0,($J$12/$M$12)),2)</f>
        <v>0</v>
      </c>
    </row>
    <row r="13" spans="1:18" x14ac:dyDescent="0.2">
      <c r="O13" s="18" t="str">
        <f>IF(P13="Minimum",15," ")</f>
        <v xml:space="preserve"> </v>
      </c>
      <c r="P13" t="str">
        <f>IF(Q10+Q12=0," ",IF(Q10+Q12&lt;15,"Minimum"," "))</f>
        <v xml:space="preserve"> </v>
      </c>
    </row>
    <row r="14" spans="1:18" x14ac:dyDescent="0.2">
      <c r="B14" s="11" t="s">
        <v>41</v>
      </c>
    </row>
    <row r="15" spans="1:18" x14ac:dyDescent="0.2">
      <c r="B15" s="10" t="s">
        <v>96</v>
      </c>
    </row>
    <row r="16" spans="1:18" ht="15.75" x14ac:dyDescent="0.25">
      <c r="C16" s="12" t="s">
        <v>44</v>
      </c>
      <c r="F16" s="13" t="str">
        <f>IF(J16=0," ",IF(J16&lt;300,SUM('Input Enrollment'!E7+'Input Enrollment'!E8)," "))</f>
        <v xml:space="preserve"> </v>
      </c>
      <c r="G16" s="28" t="s">
        <v>92</v>
      </c>
      <c r="H16" s="41" t="str">
        <f>IF(J16=0," ",'Exceptional Child Calc'!H22)</f>
        <v xml:space="preserve"> </v>
      </c>
      <c r="I16" s="15" t="s">
        <v>15</v>
      </c>
      <c r="J16" s="73">
        <f>IF('Input Enrollment'!E9=0,0,IF(SUM('Input Enrollment'!E7-'Exceptional Child Calc'!H25)+SUM('Input Enrollment'!E8-'Exceptional Child Calc'!H26)&lt;300,IF(P6="ADD to 1-6",SUM('Input Enrollment'!E7-'Exceptional Child Calc'!H25)+SUM('Input Enrollment'!E8-'Exceptional Child Calc'!H26)+'Input Enrollment'!E4,SUM('Input Enrollment'!E7-'Exceptional Child Calc'!H25)+SUM('Input Enrollment'!E8-'Exceptional Child Calc'!H26)),0))</f>
        <v>0</v>
      </c>
      <c r="K16" s="73"/>
      <c r="L16" s="17" t="s">
        <v>51</v>
      </c>
      <c r="M16" s="13">
        <f>IF(J16=0,0,LOOKUP(J16,criteria!$M$3:$M$11,criteria!$N$3:$N$11))</f>
        <v>0</v>
      </c>
      <c r="N16" s="15" t="s">
        <v>15</v>
      </c>
      <c r="O16" s="41">
        <f>IF(Q16=0,0,IF(Q16&lt;LOOKUP(J16,criteria!$M$3:$M$10,criteria!$O$3:$O$10),LOOKUP(J16,criteria!$M$3:$M$10,criteria!$O$3:$O$10),Q16))</f>
        <v>0</v>
      </c>
      <c r="P16" t="str">
        <f>IF(O16=0," ",IF(O16=Q16," ","Minimum"))</f>
        <v xml:space="preserve"> </v>
      </c>
      <c r="Q16" s="51">
        <f>ROUND(IF('Input Enrollment'!E9=0,0,IF(SUM('Input Enrollment'!$E$7-'Exceptional Child Calc'!$H$25)+SUM('Input Enrollment'!$E$8-'Exceptional Child Calc'!$H$26)&gt;299.99,0,(J16/M16))),2)</f>
        <v>0</v>
      </c>
    </row>
    <row r="17" spans="1:17" ht="6" customHeight="1" x14ac:dyDescent="0.2">
      <c r="J17" s="30"/>
      <c r="K17" s="30"/>
    </row>
    <row r="18" spans="1:17" ht="15.75" x14ac:dyDescent="0.25">
      <c r="B18" s="11" t="s">
        <v>45</v>
      </c>
      <c r="F18" s="41">
        <f>IF('Input Enrollment'!$E$10=0,0,'Input Enrollment'!$E$10)</f>
        <v>0</v>
      </c>
      <c r="G18" s="28" t="s">
        <v>92</v>
      </c>
      <c r="H18" s="47"/>
      <c r="I18" s="15" t="s">
        <v>15</v>
      </c>
      <c r="J18" s="73">
        <f>IF('Input Enrollment'!$E$10=0,0,'Input Enrollment'!$E$10)</f>
        <v>0</v>
      </c>
      <c r="K18" s="73"/>
      <c r="L18" s="17" t="s">
        <v>51</v>
      </c>
      <c r="M18" s="13">
        <f>IF('Input Enrollment'!C10=0,0,IF(J18&gt;99.99,LOOKUP(J18,criteria!Q3:Q10,criteria!R3:R10),12))</f>
        <v>0</v>
      </c>
      <c r="N18" s="15" t="s">
        <v>15</v>
      </c>
      <c r="O18" s="13">
        <f>ROUND(IF(J18=0,0,IF(J18&lt;99.99,IF(M18=0,8,(J18/M18)),IF(Q18&lt;LOOKUP(J18,criteria!$Q$3:$Q$10,criteria!$S$3:$S$10),LOOKUP(J18,criteria!$Q$3:$Q$10,criteria!$S$3:$S$10),Q18))),2)</f>
        <v>0</v>
      </c>
      <c r="P18" t="str">
        <f>IF(O18=0," ",IF(O18=Q18," ","Minimum"))</f>
        <v xml:space="preserve"> </v>
      </c>
      <c r="Q18" s="51">
        <f>ROUND(IF(M18=0,0,(J18/M18)),2)</f>
        <v>0</v>
      </c>
    </row>
    <row r="19" spans="1:17" x14ac:dyDescent="0.2">
      <c r="B19" s="11"/>
      <c r="J19" s="31"/>
      <c r="K19" s="31"/>
      <c r="M19" s="16"/>
      <c r="N19" s="15"/>
      <c r="O19" s="16"/>
    </row>
    <row r="20" spans="1:17" ht="15" x14ac:dyDescent="0.2">
      <c r="A20" s="7" t="s">
        <v>73</v>
      </c>
      <c r="J20" s="30"/>
      <c r="K20" s="30"/>
    </row>
    <row r="21" spans="1:17" ht="3.75" customHeight="1" x14ac:dyDescent="0.2">
      <c r="J21" s="30"/>
      <c r="K21" s="30"/>
    </row>
    <row r="22" spans="1:17" x14ac:dyDescent="0.2">
      <c r="B22" t="s">
        <v>89</v>
      </c>
      <c r="J22" s="73" t="str">
        <f>IF('Exceptional Child Calc'!H55=0," ",'Exceptional Child Calc'!H55)</f>
        <v xml:space="preserve"> </v>
      </c>
      <c r="K22" s="73"/>
    </row>
    <row r="23" spans="1:17" ht="7.5" customHeight="1" x14ac:dyDescent="0.2">
      <c r="J23" s="30"/>
      <c r="K23" s="30"/>
    </row>
    <row r="24" spans="1:17" x14ac:dyDescent="0.2">
      <c r="B24" t="s">
        <v>90</v>
      </c>
      <c r="J24" s="73" t="str">
        <f>IF('Exceptional Child Calc'!H22=0," ",'Exceptional Child Calc'!H22)</f>
        <v xml:space="preserve"> </v>
      </c>
      <c r="K24" s="73"/>
    </row>
    <row r="25" spans="1:17" ht="7.5" customHeight="1" x14ac:dyDescent="0.2">
      <c r="J25" s="30"/>
      <c r="K25" s="30"/>
    </row>
    <row r="26" spans="1:17" x14ac:dyDescent="0.2">
      <c r="B26" t="s">
        <v>91</v>
      </c>
      <c r="J26" s="73">
        <f>0</f>
        <v>0</v>
      </c>
      <c r="K26" s="73"/>
    </row>
    <row r="27" spans="1:17" ht="7.5" customHeight="1" x14ac:dyDescent="0.2">
      <c r="J27" s="30"/>
      <c r="K27" s="30"/>
    </row>
    <row r="28" spans="1:17" ht="6" customHeight="1" x14ac:dyDescent="0.2">
      <c r="J28" s="31"/>
      <c r="K28" s="31"/>
    </row>
    <row r="29" spans="1:17" ht="16.5" thickBot="1" x14ac:dyDescent="0.3">
      <c r="B29" s="1" t="s">
        <v>93</v>
      </c>
      <c r="J29" s="74">
        <f>SUM(J22:K27)</f>
        <v>0</v>
      </c>
      <c r="K29" s="74"/>
      <c r="L29" s="17" t="s">
        <v>51</v>
      </c>
      <c r="M29" s="13">
        <f>IF(SUM('Input Enrollment'!C4:C10)=0,0,IF(J29&gt;=14,LOOKUP(J29,criteria!$U$3:$U$10,criteria!$V$3:$V$10),0))</f>
        <v>0</v>
      </c>
      <c r="N29" s="15" t="s">
        <v>15</v>
      </c>
      <c r="O29" s="13">
        <f>IF(J29=0,0,IF(Q29&lt;LOOKUP(J29,criteria!$U$3:$U$10,criteria!$W$3:$W$10),LOOKUP(J29,criteria!$U$3:$U$10,criteria!$W$3:$W$10),Q29))</f>
        <v>0</v>
      </c>
      <c r="P29" t="str">
        <f>IF(O29=0," ",IF(O29=Q29," ","Minimum"))</f>
        <v xml:space="preserve"> </v>
      </c>
      <c r="Q29" s="51">
        <f>ROUND(IF(SUM('Input Enrollment'!C4:C10)=0,0,IF(M29=0,0,(J29/M29))),2)</f>
        <v>0</v>
      </c>
    </row>
    <row r="30" spans="1:17" ht="11.25" customHeight="1" thickTop="1" x14ac:dyDescent="0.25">
      <c r="B30" s="1"/>
      <c r="J30" s="31"/>
      <c r="K30" s="31"/>
      <c r="L30" s="17"/>
      <c r="M30" s="16"/>
      <c r="N30" s="15"/>
      <c r="O30" s="16"/>
    </row>
    <row r="31" spans="1:17" ht="19.5" customHeight="1" x14ac:dyDescent="0.25">
      <c r="A31" s="4" t="s">
        <v>106</v>
      </c>
    </row>
    <row r="32" spans="1:17" ht="15.75" x14ac:dyDescent="0.25">
      <c r="B32" s="75" t="str">
        <f>IF('Input Enrollment'!E14=0," ","Alternative Secondary High School")</f>
        <v xml:space="preserve"> </v>
      </c>
      <c r="C32" s="75"/>
      <c r="D32" s="75"/>
      <c r="E32" s="75"/>
      <c r="F32" s="75"/>
      <c r="G32" s="75"/>
      <c r="H32" s="75"/>
      <c r="I32" s="5"/>
      <c r="J32" s="73">
        <f>'Input Enrollment'!E14</f>
        <v>0</v>
      </c>
      <c r="K32" s="73"/>
      <c r="L32" s="17" t="s">
        <v>51</v>
      </c>
      <c r="M32" s="13">
        <f>IF(J32=0,0,IF(Q32&lt;1,M18,12))</f>
        <v>0</v>
      </c>
      <c r="N32" s="15" t="s">
        <v>15</v>
      </c>
      <c r="O32" s="41">
        <f>ROUND(IF(J32=0,0,J32/M32),2)</f>
        <v>0</v>
      </c>
      <c r="P32" s="7"/>
      <c r="Q32" s="51">
        <f>ROUND(IF(J32=0,0,J32/12),2)</f>
        <v>0</v>
      </c>
    </row>
    <row r="33" spans="1:17" ht="11.25" customHeight="1" x14ac:dyDescent="0.2">
      <c r="J33" s="30"/>
      <c r="K33" s="30"/>
      <c r="O33" s="30"/>
    </row>
    <row r="34" spans="1:17" ht="11.25" customHeight="1" x14ac:dyDescent="0.25">
      <c r="B34" s="75" t="str">
        <f>IF('Input Enrollment'!E15=0," ","Summer Alternative Secondary High School")</f>
        <v xml:space="preserve"> </v>
      </c>
      <c r="C34" s="75"/>
      <c r="D34" s="75"/>
      <c r="E34" s="75"/>
      <c r="F34" s="75"/>
      <c r="G34" s="75"/>
      <c r="J34" s="73">
        <f>'Input Enrollment'!E15</f>
        <v>0</v>
      </c>
      <c r="K34" s="73"/>
      <c r="L34" s="17" t="s">
        <v>51</v>
      </c>
      <c r="M34" s="13">
        <f>IF(J34=0,0,40)</f>
        <v>0</v>
      </c>
      <c r="N34" s="15" t="s">
        <v>15</v>
      </c>
      <c r="O34" s="41">
        <f>ROUND(IF(J34=0,0,J34/M34),2)</f>
        <v>0</v>
      </c>
      <c r="P34" s="7"/>
      <c r="Q34" s="51">
        <f>ROUND(IF(J34=0,0,J34/12),2)</f>
        <v>0</v>
      </c>
    </row>
    <row r="35" spans="1:17" ht="13.5" customHeight="1" x14ac:dyDescent="0.25">
      <c r="J35" s="16"/>
      <c r="K35" s="16"/>
      <c r="L35" s="17"/>
      <c r="M35" s="16"/>
      <c r="N35" s="15"/>
      <c r="O35" s="16"/>
      <c r="P35" s="1"/>
    </row>
    <row r="36" spans="1:17" ht="18.75" customHeight="1" thickBot="1" x14ac:dyDescent="0.25">
      <c r="A36" s="7"/>
      <c r="B36" s="12" t="s">
        <v>104</v>
      </c>
      <c r="C36" s="1"/>
      <c r="D36" s="1"/>
      <c r="E36" s="1"/>
      <c r="F36" s="1"/>
      <c r="G36" s="1"/>
      <c r="H36" s="1"/>
      <c r="I36" s="1"/>
      <c r="J36" s="1"/>
      <c r="K36" s="1"/>
      <c r="M36" s="18" t="s">
        <v>15</v>
      </c>
      <c r="N36" s="76">
        <f>ROUND(IF(SUM(O6:O34)=0,0,SUM(O6:O34)),2)</f>
        <v>0</v>
      </c>
      <c r="O36" s="76"/>
    </row>
    <row r="37" spans="1:17" ht="13.5" thickTop="1" x14ac:dyDescent="0.2">
      <c r="M37" s="81" t="str">
        <f>IF(N36=0," ",IF(N36&lt;'Current Year'!N36,"Do Not Use","You May Use this Calculation"))</f>
        <v xml:space="preserve"> </v>
      </c>
      <c r="N37" s="81"/>
      <c r="O37" s="81"/>
      <c r="P37" s="81"/>
    </row>
  </sheetData>
  <sheetProtection password="CC16" sheet="1" objects="1" scenarios="1"/>
  <mergeCells count="19">
    <mergeCell ref="M37:P37"/>
    <mergeCell ref="B32:H32"/>
    <mergeCell ref="J32:K32"/>
    <mergeCell ref="J18:K18"/>
    <mergeCell ref="J4:K4"/>
    <mergeCell ref="J10:K10"/>
    <mergeCell ref="J6:K6"/>
    <mergeCell ref="J34:K34"/>
    <mergeCell ref="A1:O1"/>
    <mergeCell ref="A2:O2"/>
    <mergeCell ref="J29:K29"/>
    <mergeCell ref="N36:O36"/>
    <mergeCell ref="J22:K22"/>
    <mergeCell ref="J24:K24"/>
    <mergeCell ref="J26:K26"/>
    <mergeCell ref="J12:K12"/>
    <mergeCell ref="J16:K16"/>
    <mergeCell ref="B34:G34"/>
    <mergeCell ref="A3:O3"/>
  </mergeCells>
  <phoneticPr fontId="0" type="noConversion"/>
  <conditionalFormatting sqref="M37:P37">
    <cfRule type="cellIs" dxfId="3" priority="1" stopIfTrue="1" operator="equal">
      <formula>"Do Not Use"</formula>
    </cfRule>
    <cfRule type="cellIs" dxfId="2" priority="2" stopIfTrue="1" operator="equal">
      <formula>"You May Use this Calculation"</formula>
    </cfRule>
  </conditionalFormatting>
  <pageMargins left="0.5" right="0.5" top="0.5" bottom="0.5" header="0.25" footer="0.25"/>
  <pageSetup scale="82" orientation="portrait" r:id="rId1"/>
  <headerFooter alignWithMargins="0">
    <oddFooter>&amp;L&amp;F</oddFooter>
  </headerFooter>
  <colBreaks count="1" manualBreakCount="1"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showGridLines="0" zoomScale="90" zoomScaleNormal="100" workbookViewId="0">
      <selection sqref="A1:O1"/>
    </sheetView>
  </sheetViews>
  <sheetFormatPr defaultRowHeight="12.75" x14ac:dyDescent="0.2"/>
  <cols>
    <col min="1" max="1" width="4.140625" style="3" customWidth="1"/>
    <col min="2" max="2" width="2.5703125" customWidth="1"/>
    <col min="5" max="5" width="7.140625" customWidth="1"/>
    <col min="6" max="6" width="8.28515625" customWidth="1"/>
    <col min="7" max="8" width="10.140625" customWidth="1"/>
    <col min="9" max="9" width="3.85546875" customWidth="1"/>
    <col min="11" max="11" width="6.28515625" customWidth="1"/>
    <col min="12" max="12" width="5.5703125" customWidth="1"/>
    <col min="13" max="13" width="10.7109375" customWidth="1"/>
    <col min="14" max="14" width="8.140625" customWidth="1"/>
    <col min="15" max="15" width="12.28515625" customWidth="1"/>
    <col min="16" max="16" width="10.28515625" customWidth="1"/>
    <col min="17" max="17" width="9.140625" style="51" customWidth="1"/>
  </cols>
  <sheetData>
    <row r="1" spans="1:18" ht="15.75" x14ac:dyDescent="0.2">
      <c r="A1" s="77" t="s">
        <v>82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43"/>
      <c r="Q1" s="52"/>
      <c r="R1" s="43"/>
    </row>
    <row r="2" spans="1:18" ht="15.75" x14ac:dyDescent="0.2">
      <c r="A2" s="77" t="s">
        <v>75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8" ht="9" customHeight="1" x14ac:dyDescent="0.2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8" ht="7.5" customHeight="1" x14ac:dyDescent="0.2"/>
    <row r="5" spans="1:18" ht="39" customHeight="1" x14ac:dyDescent="0.2">
      <c r="A5" s="14" t="s">
        <v>39</v>
      </c>
      <c r="F5" s="45" t="s">
        <v>83</v>
      </c>
      <c r="H5" s="46" t="s">
        <v>87</v>
      </c>
      <c r="I5" s="16"/>
      <c r="J5" s="78" t="s">
        <v>88</v>
      </c>
      <c r="K5" s="79"/>
      <c r="M5" s="19" t="s">
        <v>84</v>
      </c>
      <c r="O5" s="44" t="s">
        <v>85</v>
      </c>
    </row>
    <row r="6" spans="1:18" ht="6.75" customHeight="1" x14ac:dyDescent="0.2"/>
    <row r="7" spans="1:18" ht="15.75" x14ac:dyDescent="0.25">
      <c r="B7" s="11" t="s">
        <v>40</v>
      </c>
      <c r="F7" s="41" t="str">
        <f>IF('Input Enrollment'!$G$4=0," ",'Input Enrollment'!$G$4)</f>
        <v xml:space="preserve"> </v>
      </c>
      <c r="G7" s="31"/>
      <c r="J7" s="73" t="str">
        <f>IF('Input Enrollment'!G4=0,"0",'Input Enrollment'!G4)</f>
        <v>0</v>
      </c>
      <c r="K7" s="73"/>
      <c r="L7" s="17" t="s">
        <v>51</v>
      </c>
      <c r="M7" s="13">
        <f>IF('Input Enrollment'!G4=0,0,LOOKUP(J7,criteria!$A$3:$A$10,criteria!$B$3:$B$10))</f>
        <v>0</v>
      </c>
      <c r="N7" s="15" t="s">
        <v>15</v>
      </c>
      <c r="O7" s="41">
        <f>IF(Q7=0,0,IF(Q7&lt;LOOKUP(J7,criteria!$A$3:$A$10,criteria!$C$3:$C$10),LOOKUP(J7,criteria!$A$3:$A$10,criteria!$C$3:$C$10),IF(LOOKUP(J7,criteria!$A$3:$A$10,criteria!$C$3:$C$10)=0,0,Q7)))</f>
        <v>0</v>
      </c>
      <c r="P7" s="10" t="str">
        <f>IF('Input Enrollment'!G4=0," ",IF(O7=0,"ADD to 1-6",IF(O7=Q7," ","Minimum")))</f>
        <v xml:space="preserve"> </v>
      </c>
      <c r="Q7" s="51">
        <f>ROUND(IF('Input Enrollment'!G4=0,0,IF(M7=0,0,(J7/M7))),2)</f>
        <v>0</v>
      </c>
    </row>
    <row r="8" spans="1:18" ht="6.75" customHeight="1" x14ac:dyDescent="0.2">
      <c r="J8" s="30"/>
      <c r="K8" s="30"/>
      <c r="O8" s="30"/>
    </row>
    <row r="9" spans="1:18" x14ac:dyDescent="0.2">
      <c r="B9" s="11" t="s">
        <v>41</v>
      </c>
      <c r="J9" s="30"/>
      <c r="K9" s="30"/>
      <c r="O9" s="30"/>
    </row>
    <row r="10" spans="1:18" x14ac:dyDescent="0.2">
      <c r="B10" s="10" t="s">
        <v>86</v>
      </c>
      <c r="J10" s="30"/>
      <c r="K10" s="30"/>
      <c r="O10" s="30"/>
    </row>
    <row r="11" spans="1:18" ht="16.5" customHeight="1" x14ac:dyDescent="0.25">
      <c r="C11" s="12" t="s">
        <v>42</v>
      </c>
      <c r="F11" s="13" t="str">
        <f>IF(J11=0," ",IF($J$16&gt;300," ",'Input Enrollment'!G7))</f>
        <v xml:space="preserve"> </v>
      </c>
      <c r="G11" s="28" t="s">
        <v>92</v>
      </c>
      <c r="H11" s="41" t="str">
        <f>IF(J11=0," ",'Exceptional Child Calc'!H25)</f>
        <v xml:space="preserve"> </v>
      </c>
      <c r="I11" s="15" t="s">
        <v>15</v>
      </c>
      <c r="J11" s="73">
        <f>IF('Input Enrollment'!G7=0,0,IF(SUM('Input Enrollment'!G7-'Exceptional Child Calc'!H25)+SUM('Input Enrollment'!G8-'Exceptional Child Calc'!H26)&gt;299.99,SUM('Input Enrollment'!G7-'Exceptional Child Calc'!H25),0))</f>
        <v>0</v>
      </c>
      <c r="K11" s="73"/>
      <c r="L11" s="17" t="s">
        <v>51</v>
      </c>
      <c r="M11" s="13">
        <f>IF(SUM('Input Enrollment'!$G$7-'Exceptional Child Calc'!$H$25)+SUM('Input Enrollment'!$G$8-'Exceptional Child Calc'!$H$26)&gt;299.99,20,0)</f>
        <v>0</v>
      </c>
      <c r="N11" s="15" t="s">
        <v>15</v>
      </c>
      <c r="O11" s="41">
        <f>ROUND(IF(SUM('Input Enrollment'!$G$7-'Exceptional Child Calc'!$H$25)+SUM('Input Enrollment'!$G$8-'Exceptional Child Calc'!$H$26)&lt;299.99,0,IF(Q11+Q13&lt;15,0,(J11/M11))),2)</f>
        <v>0</v>
      </c>
      <c r="P11" t="str">
        <f>IF(O11=0," ",IF(O11=Q11," ","Minimum"))</f>
        <v xml:space="preserve"> </v>
      </c>
      <c r="Q11" s="51">
        <f>ROUND(IF(SUM('Input Enrollment'!$G$7-'Exceptional Child Calc'!$H$25)+SUM('Input Enrollment'!$G$8-'Exceptional Child Calc'!$H$26)&lt;299.99,0,(J11/M11)),2)</f>
        <v>0</v>
      </c>
    </row>
    <row r="12" spans="1:18" ht="9" customHeight="1" x14ac:dyDescent="0.2">
      <c r="B12" s="12"/>
      <c r="J12" s="30"/>
      <c r="K12" s="30"/>
      <c r="O12" s="30"/>
    </row>
    <row r="13" spans="1:18" ht="15.75" x14ac:dyDescent="0.25">
      <c r="C13" s="12" t="s">
        <v>43</v>
      </c>
      <c r="F13" s="13" t="str">
        <f>IF(J13=0," ",IF($J$16&gt;300," ",'Input Enrollment'!G8))</f>
        <v xml:space="preserve"> </v>
      </c>
      <c r="G13" s="28" t="s">
        <v>92</v>
      </c>
      <c r="H13" s="41" t="str">
        <f>IF(J13=0," ",'Exceptional Child Calc'!H26)</f>
        <v xml:space="preserve"> </v>
      </c>
      <c r="I13" s="15" t="s">
        <v>15</v>
      </c>
      <c r="J13" s="73">
        <f>IF('Input Enrollment'!G8=0,0,IF(SUM('Input Enrollment'!G7-'Exceptional Child Calc'!H25)+SUM('Input Enrollment'!G8-'Exceptional Child Calc'!H26)&gt;299.99,SUM('Input Enrollment'!G8-'Exceptional Child Calc'!H26),0))</f>
        <v>0</v>
      </c>
      <c r="K13" s="73"/>
      <c r="L13" s="17" t="s">
        <v>51</v>
      </c>
      <c r="M13" s="13">
        <f>IF(SUM('Input Enrollment'!$G$7-'Exceptional Child Calc'!$H$25)+SUM('Input Enrollment'!$G$8-'Exceptional Child Calc'!$H$26)&gt;299.99,23,0)</f>
        <v>0</v>
      </c>
      <c r="N13" s="15" t="s">
        <v>15</v>
      </c>
      <c r="O13" s="41">
        <f>ROUND(IF(SUM('Input Enrollment'!$G$7-'Exceptional Child Calc'!$H$25)+SUM('Input Enrollment'!$G$8-'Exceptional Child Calc'!$H$26)&lt;299.99,0,IF(Q11+Q13&lt;15,0,($J$13/$M$13))),2)</f>
        <v>0</v>
      </c>
      <c r="P13" t="str">
        <f>IF(O13=0," ",IF(O13=Q13," ","Minimum"))</f>
        <v xml:space="preserve"> </v>
      </c>
      <c r="Q13" s="51">
        <f>ROUND(IF(SUM('Input Enrollment'!$G$7-'Exceptional Child Calc'!$H$25)+SUM('Input Enrollment'!$G$8-'Exceptional Child Calc'!$H$26)&lt;299.99,0,($J$13/$M$13)),2)</f>
        <v>0</v>
      </c>
    </row>
    <row r="14" spans="1:18" ht="15" x14ac:dyDescent="0.2">
      <c r="B14" s="11" t="s">
        <v>41</v>
      </c>
      <c r="F14" s="16"/>
      <c r="G14" s="28"/>
      <c r="H14" s="31"/>
      <c r="I14" s="15"/>
      <c r="O14" s="50" t="str">
        <f>IF(P14="Minimum",15," ")</f>
        <v xml:space="preserve"> </v>
      </c>
      <c r="P14" t="str">
        <f>IF(Q11+Q13=0," ",IF(Q11+Q13&lt;15,"Minimum"," "))</f>
        <v xml:space="preserve"> </v>
      </c>
    </row>
    <row r="15" spans="1:18" x14ac:dyDescent="0.2">
      <c r="B15" s="10" t="s">
        <v>96</v>
      </c>
      <c r="O15" s="30"/>
    </row>
    <row r="16" spans="1:18" ht="15.75" x14ac:dyDescent="0.25">
      <c r="C16" s="12" t="s">
        <v>44</v>
      </c>
      <c r="F16" s="13" t="str">
        <f>IF(J16=0," ",IF(J16&lt;300,SUM('Input Enrollment'!G7+'Input Enrollment'!G8)," "))</f>
        <v xml:space="preserve"> </v>
      </c>
      <c r="G16" s="28" t="s">
        <v>92</v>
      </c>
      <c r="H16" s="41" t="str">
        <f>IF(J16=0," ",'Exceptional Child Calc'!H22)</f>
        <v xml:space="preserve"> </v>
      </c>
      <c r="I16" s="15" t="s">
        <v>15</v>
      </c>
      <c r="J16" s="73">
        <f>IF('Input Enrollment'!G9=0,0,IF(SUM('Input Enrollment'!G7-'Exceptional Child Calc'!H25)+SUM('Input Enrollment'!G8-'Exceptional Child Calc'!H26)&lt;300,IF(P7="ADD to 1-6",SUM('Input Enrollment'!G7-'Exceptional Child Calc'!H25)+SUM('Input Enrollment'!G8-'Exceptional Child Calc'!H26)+'Input Enrollment'!G4,SUM('Input Enrollment'!G7-'Exceptional Child Calc'!H25)+SUM('Input Enrollment'!G8-'Exceptional Child Calc'!H26)),0))</f>
        <v>0</v>
      </c>
      <c r="K16" s="73"/>
      <c r="L16" s="17" t="s">
        <v>51</v>
      </c>
      <c r="M16" s="13">
        <f>IF(SUM('Input Enrollment'!$G$7-'Exceptional Child Calc'!$H$25)+SUM('Input Enrollment'!$G$8-'Exceptional Child Calc'!$H$26)&lt;299.99,LOOKUP(J16,criteria!$M$3:$M$11,criteria!$N$3:$N$11),0)</f>
        <v>0</v>
      </c>
      <c r="N16" s="15" t="s">
        <v>15</v>
      </c>
      <c r="O16" s="41">
        <f>IF(Q16=0,0,IF(Q16&lt;LOOKUP(J16,criteria!$M$3:$M$10,criteria!$O$3:$O$10),LOOKUP(J16,criteria!$M$3:$M$10,criteria!$O$3:$O$10),Q16))</f>
        <v>0</v>
      </c>
      <c r="P16" t="str">
        <f>IF(O16=0," ",IF(O16=Q16," ","Minimum"))</f>
        <v xml:space="preserve"> </v>
      </c>
      <c r="Q16" s="51">
        <f>ROUND(IF('Input Enrollment'!G9=0,0,IF(SUM('Input Enrollment'!$G$7-'Exceptional Child Calc'!$H$25)+SUM('Input Enrollment'!$G$8-'Exceptional Child Calc'!$H$26)&gt;299.99,0,(J16/M16))),2)</f>
        <v>0</v>
      </c>
    </row>
    <row r="17" spans="1:17" ht="6" customHeight="1" x14ac:dyDescent="0.2">
      <c r="J17" s="30"/>
      <c r="K17" s="30"/>
      <c r="O17" s="30"/>
    </row>
    <row r="18" spans="1:17" ht="15.75" x14ac:dyDescent="0.25">
      <c r="B18" s="11" t="s">
        <v>45</v>
      </c>
      <c r="F18" s="13" t="str">
        <f>IF(J18=0," ",'Input Enrollment'!G10)</f>
        <v xml:space="preserve"> </v>
      </c>
      <c r="G18" s="28" t="s">
        <v>92</v>
      </c>
      <c r="H18" s="41" t="str">
        <f>IF(J18=0," ",'Exceptional Child Calc'!$H$43)</f>
        <v xml:space="preserve"> </v>
      </c>
      <c r="I18" s="15" t="s">
        <v>15</v>
      </c>
      <c r="J18" s="73">
        <f>IF('Input Enrollment'!G10=0,0,SUM('Input Enrollment'!G10-'Exceptional Child Calc'!H43))</f>
        <v>0</v>
      </c>
      <c r="K18" s="73"/>
      <c r="L18" s="17" t="s">
        <v>51</v>
      </c>
      <c r="M18" s="13">
        <f>IF(J18=0,0,IF(J18&gt;99.99,LOOKUP(J18,criteria!Q3:Q10,criteria!R3:R10),12))</f>
        <v>0</v>
      </c>
      <c r="N18" s="15" t="s">
        <v>15</v>
      </c>
      <c r="O18" s="41">
        <f>ROUND(IF(J18=0,0,IF(J18&lt;99.99,IF(M18=0,8,(J18/M18)),IF(Q18&lt;LOOKUP(J18,criteria!$Q$3:$Q$10,criteria!$S$3:$S$10),LOOKUP(J18,criteria!$Q$3:$Q$10,criteria!$S$3:$S$10),Q18))),2)</f>
        <v>0</v>
      </c>
      <c r="P18" t="str">
        <f>IF(O18=0," ",IF(O18=Q18," ","Minimum"))</f>
        <v xml:space="preserve"> </v>
      </c>
      <c r="Q18" s="51">
        <f>ROUND(IF(M18=0,0,(J18/M18)),2)</f>
        <v>0</v>
      </c>
    </row>
    <row r="19" spans="1:17" x14ac:dyDescent="0.2">
      <c r="B19" s="11"/>
      <c r="J19" s="31"/>
      <c r="K19" s="31"/>
      <c r="M19" s="16"/>
      <c r="N19" s="15"/>
      <c r="O19" s="16"/>
    </row>
    <row r="20" spans="1:17" ht="15.75" x14ac:dyDescent="0.25">
      <c r="A20" s="4" t="s">
        <v>46</v>
      </c>
      <c r="J20" s="30"/>
      <c r="K20" s="30"/>
    </row>
    <row r="21" spans="1:17" ht="3.75" customHeight="1" x14ac:dyDescent="0.2">
      <c r="J21" s="30"/>
      <c r="K21" s="30"/>
    </row>
    <row r="22" spans="1:17" x14ac:dyDescent="0.2">
      <c r="B22" t="s">
        <v>47</v>
      </c>
      <c r="J22" s="73" t="str">
        <f>IF('Exceptional Child Calc'!H55=0," ",'Exceptional Child Calc'!H55)</f>
        <v xml:space="preserve"> </v>
      </c>
      <c r="K22" s="73"/>
    </row>
    <row r="23" spans="1:17" ht="6" customHeight="1" x14ac:dyDescent="0.2">
      <c r="J23" s="30"/>
      <c r="K23" s="30"/>
    </row>
    <row r="24" spans="1:17" x14ac:dyDescent="0.2">
      <c r="B24" t="s">
        <v>48</v>
      </c>
      <c r="J24" s="73" t="str">
        <f>IF('Exceptional Child Calc'!H22=0," ",'Exceptional Child Calc'!H22)</f>
        <v xml:space="preserve"> </v>
      </c>
      <c r="K24" s="73"/>
    </row>
    <row r="25" spans="1:17" ht="6" customHeight="1" x14ac:dyDescent="0.2">
      <c r="J25" s="30"/>
      <c r="K25" s="30"/>
    </row>
    <row r="26" spans="1:17" x14ac:dyDescent="0.2">
      <c r="B26" t="s">
        <v>49</v>
      </c>
      <c r="J26" s="73" t="str">
        <f>IF('Exceptional Child Calc'!H43=0," ",'Exceptional Child Calc'!H43)</f>
        <v xml:space="preserve"> </v>
      </c>
      <c r="K26" s="73"/>
    </row>
    <row r="27" spans="1:17" ht="6" customHeight="1" x14ac:dyDescent="0.2">
      <c r="J27" s="30"/>
      <c r="K27" s="30"/>
    </row>
    <row r="28" spans="1:17" ht="6" customHeight="1" x14ac:dyDescent="0.2">
      <c r="J28" s="31"/>
      <c r="K28" s="31"/>
    </row>
    <row r="29" spans="1:17" ht="13.5" customHeight="1" thickBot="1" x14ac:dyDescent="0.3">
      <c r="B29" s="1" t="s">
        <v>50</v>
      </c>
      <c r="J29" s="74">
        <f>SUM(J22:K27)</f>
        <v>0</v>
      </c>
      <c r="K29" s="74"/>
      <c r="L29" s="17" t="s">
        <v>51</v>
      </c>
      <c r="M29" s="13">
        <f>IF(SUM('Input Enrollment'!C4:C10)=0,0,IF(J29&gt;=14,LOOKUP(J29,criteria!$U$3:$U$10,criteria!$V$3:$V$10),0))</f>
        <v>0</v>
      </c>
      <c r="N29" s="15" t="s">
        <v>15</v>
      </c>
      <c r="O29" s="41">
        <f>IF(J29=0,0,IF(Q29&lt;LOOKUP(J29,criteria!$U$3:$U$10,criteria!$W$3:$W$10),LOOKUP(J29,criteria!$U$3:$U$10,criteria!$W$3:$W$10),Q29))</f>
        <v>0</v>
      </c>
      <c r="P29" t="str">
        <f>IF(O29=0," ",IF(O29=Q29," ","Minimum"))</f>
        <v xml:space="preserve"> </v>
      </c>
      <c r="Q29" s="51">
        <f>ROUND(IF(SUM('Input Enrollment'!C4:C10)=0,0,IF(M29=0,0,(J29/M29))),2)</f>
        <v>0</v>
      </c>
    </row>
    <row r="30" spans="1:17" ht="12" customHeight="1" thickTop="1" x14ac:dyDescent="0.2">
      <c r="B30" s="84"/>
      <c r="C30" s="84"/>
      <c r="D30" s="84"/>
      <c r="E30" s="84"/>
      <c r="F30" s="42"/>
      <c r="G30" s="42"/>
      <c r="H30" s="42"/>
      <c r="J30" s="12"/>
      <c r="N30" s="15"/>
      <c r="O30" s="31"/>
      <c r="P30" s="1"/>
    </row>
    <row r="31" spans="1:17" ht="19.5" customHeight="1" x14ac:dyDescent="0.25">
      <c r="A31" s="4" t="s">
        <v>106</v>
      </c>
      <c r="O31" s="30"/>
    </row>
    <row r="32" spans="1:17" ht="15.75" x14ac:dyDescent="0.25">
      <c r="B32" s="82" t="str">
        <f>IF('Input Enrollment'!E14=0," ","Alternative Secondary High School")</f>
        <v xml:space="preserve"> </v>
      </c>
      <c r="C32" s="82"/>
      <c r="D32" s="82"/>
      <c r="E32" s="82"/>
      <c r="F32" s="83"/>
      <c r="G32" s="5"/>
      <c r="H32" s="5"/>
      <c r="I32" s="5"/>
      <c r="J32" s="73">
        <f>'Input Enrollment'!G14</f>
        <v>0</v>
      </c>
      <c r="K32" s="73"/>
      <c r="L32" s="17" t="s">
        <v>51</v>
      </c>
      <c r="M32" s="13">
        <f>IF(J32=0,0,IF(Q32&lt;1,M18,12))</f>
        <v>0</v>
      </c>
      <c r="N32" s="15" t="s">
        <v>15</v>
      </c>
      <c r="O32" s="41">
        <f>ROUND(IF(J32=0,0,J32/M32),2)</f>
        <v>0</v>
      </c>
      <c r="P32" s="7"/>
      <c r="Q32" s="51">
        <f>ROUND(IF(J32=0,0,J32/12),2)</f>
        <v>0</v>
      </c>
    </row>
    <row r="33" spans="1:17" ht="11.25" customHeight="1" x14ac:dyDescent="0.2">
      <c r="J33" s="30"/>
      <c r="K33" s="30"/>
      <c r="O33" s="30"/>
    </row>
    <row r="34" spans="1:17" ht="11.25" customHeight="1" x14ac:dyDescent="0.25">
      <c r="B34" s="82" t="str">
        <f>IF('Input Enrollment'!E15=0," ","Summer Alternative Secondary High School")</f>
        <v xml:space="preserve"> </v>
      </c>
      <c r="C34" s="82"/>
      <c r="D34" s="82"/>
      <c r="E34" s="82"/>
      <c r="F34" s="83"/>
      <c r="G34" s="5"/>
      <c r="J34" s="73">
        <f>'Input Enrollment'!E15</f>
        <v>0</v>
      </c>
      <c r="K34" s="73"/>
      <c r="L34" s="17" t="s">
        <v>51</v>
      </c>
      <c r="M34" s="13">
        <f>IF(J34=0,0,40)</f>
        <v>0</v>
      </c>
      <c r="N34" s="15" t="s">
        <v>15</v>
      </c>
      <c r="O34" s="41">
        <f>ROUND(IF(J34=0,0,J34/M34),2)</f>
        <v>0</v>
      </c>
      <c r="P34" s="7"/>
      <c r="Q34" s="51">
        <f>ROUND(IF(J34=0,0,J34/12),2)</f>
        <v>0</v>
      </c>
    </row>
    <row r="35" spans="1:17" ht="13.5" customHeight="1" x14ac:dyDescent="0.25">
      <c r="J35" s="16"/>
      <c r="K35" s="16"/>
      <c r="L35" s="17"/>
      <c r="M35" s="16"/>
      <c r="N35" s="15"/>
      <c r="O35" s="16"/>
      <c r="P35" s="1"/>
    </row>
    <row r="36" spans="1:17" ht="18.75" customHeight="1" thickBot="1" x14ac:dyDescent="0.25">
      <c r="A36" s="7"/>
      <c r="B36" s="12" t="s">
        <v>104</v>
      </c>
      <c r="C36" s="1"/>
      <c r="D36" s="1"/>
      <c r="E36" s="1"/>
      <c r="F36" s="1"/>
      <c r="G36" s="1"/>
      <c r="H36" s="1"/>
      <c r="I36" s="1"/>
      <c r="J36" s="1"/>
      <c r="K36" s="1"/>
      <c r="M36" s="18"/>
      <c r="O36" s="67">
        <f>ROUND(IF(SUM(O7:O34)=0,0,SUM(O7:O34)),2)</f>
        <v>0</v>
      </c>
    </row>
    <row r="37" spans="1:17" ht="13.5" thickTop="1" x14ac:dyDescent="0.2"/>
  </sheetData>
  <sheetProtection password="CC16" sheet="1" objects="1" scenarios="1"/>
  <mergeCells count="17">
    <mergeCell ref="A2:O2"/>
    <mergeCell ref="A1:O1"/>
    <mergeCell ref="J18:K18"/>
    <mergeCell ref="B30:E30"/>
    <mergeCell ref="J29:K29"/>
    <mergeCell ref="J22:K22"/>
    <mergeCell ref="J5:K5"/>
    <mergeCell ref="J11:K11"/>
    <mergeCell ref="J7:K7"/>
    <mergeCell ref="J24:K24"/>
    <mergeCell ref="J26:K26"/>
    <mergeCell ref="J13:K13"/>
    <mergeCell ref="J16:K16"/>
    <mergeCell ref="B34:F34"/>
    <mergeCell ref="J34:K34"/>
    <mergeCell ref="J32:K32"/>
    <mergeCell ref="B32:F32"/>
  </mergeCells>
  <phoneticPr fontId="0" type="noConversion"/>
  <pageMargins left="0.5" right="0.5" top="0.5" bottom="0.5" header="0.25" footer="0.25"/>
  <pageSetup scale="76" orientation="portrait" r:id="rId1"/>
  <headerFooter alignWithMargins="0">
    <oddFooter>&amp;L&amp;F</oddFooter>
  </headerFooter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showGridLines="0" zoomScale="90" zoomScaleNormal="100" workbookViewId="0">
      <selection sqref="A1:O1"/>
    </sheetView>
  </sheetViews>
  <sheetFormatPr defaultRowHeight="12.75" x14ac:dyDescent="0.2"/>
  <cols>
    <col min="1" max="1" width="4.140625" style="3" customWidth="1"/>
    <col min="2" max="2" width="2.5703125" customWidth="1"/>
    <col min="5" max="5" width="7.140625" customWidth="1"/>
    <col min="6" max="6" width="8.28515625" customWidth="1"/>
    <col min="7" max="8" width="10.140625" customWidth="1"/>
    <col min="9" max="9" width="3.85546875" customWidth="1"/>
    <col min="11" max="11" width="6.28515625" customWidth="1"/>
    <col min="12" max="12" width="5.5703125" customWidth="1"/>
    <col min="13" max="13" width="10.7109375" customWidth="1"/>
    <col min="14" max="14" width="8.140625" customWidth="1"/>
    <col min="15" max="15" width="12.28515625" customWidth="1"/>
    <col min="16" max="16" width="10.28515625" customWidth="1"/>
    <col min="17" max="17" width="9.140625" style="51" customWidth="1"/>
  </cols>
  <sheetData>
    <row r="1" spans="1:18" ht="15.75" x14ac:dyDescent="0.2">
      <c r="A1" s="77" t="s">
        <v>82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43"/>
      <c r="Q1" s="52"/>
      <c r="R1" s="43"/>
    </row>
    <row r="2" spans="1:18" ht="15.75" x14ac:dyDescent="0.2">
      <c r="A2" s="77" t="s">
        <v>75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8" ht="15" customHeight="1" x14ac:dyDescent="0.25">
      <c r="A3" s="80" t="s">
        <v>76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</row>
    <row r="4" spans="1:18" ht="7.5" customHeight="1" x14ac:dyDescent="0.2"/>
    <row r="5" spans="1:18" ht="39" customHeight="1" x14ac:dyDescent="0.2">
      <c r="A5" s="14" t="s">
        <v>39</v>
      </c>
      <c r="F5" s="45" t="s">
        <v>83</v>
      </c>
      <c r="H5" s="46" t="s">
        <v>87</v>
      </c>
      <c r="I5" s="16"/>
      <c r="J5" s="78" t="s">
        <v>88</v>
      </c>
      <c r="K5" s="79"/>
      <c r="M5" s="19" t="s">
        <v>84</v>
      </c>
      <c r="O5" s="44" t="s">
        <v>85</v>
      </c>
    </row>
    <row r="6" spans="1:18" ht="6.75" customHeight="1" x14ac:dyDescent="0.2"/>
    <row r="7" spans="1:18" ht="15.75" x14ac:dyDescent="0.25">
      <c r="B7" s="11" t="s">
        <v>40</v>
      </c>
      <c r="F7" s="41" t="str">
        <f>IF('Input Enrollment'!$G$4=0," ",'Input Enrollment'!$G$4)</f>
        <v xml:space="preserve"> </v>
      </c>
      <c r="G7" s="31"/>
      <c r="J7" s="73" t="str">
        <f>IF('Input Enrollment'!G4=0,"0",'Input Enrollment'!G4)</f>
        <v>0</v>
      </c>
      <c r="K7" s="73"/>
      <c r="L7" s="17" t="s">
        <v>51</v>
      </c>
      <c r="M7" s="13">
        <f>IF('Input Enrollment'!G4=0,0,LOOKUP(J7,criteria!$A$3:$A$10,criteria!$B$3:$B$10))</f>
        <v>0</v>
      </c>
      <c r="N7" s="15" t="s">
        <v>15</v>
      </c>
      <c r="O7" s="41">
        <f>IF(Q7=0,0,IF(Q7&lt;LOOKUP(J7,criteria!$A$3:$A$10,criteria!$C$3:$C$10),LOOKUP(J7,criteria!$A$3:$A$10,criteria!$C$3:$C$10),IF(LOOKUP(J7,criteria!$A$3:$A$10,criteria!$C$3:$C$10)=0,0,Q7)))</f>
        <v>0</v>
      </c>
      <c r="P7" s="10" t="str">
        <f>IF('Input Enrollment'!G4=0," ",IF(O7=0,"ADD to 1-6",IF(O7=Q7," ","Minimum")))</f>
        <v xml:space="preserve"> </v>
      </c>
      <c r="Q7" s="51">
        <f>ROUND(IF('Input Enrollment'!G4=0,0,IF(M7=0,0,(J7/M7))),2)</f>
        <v>0</v>
      </c>
    </row>
    <row r="8" spans="1:18" ht="6.75" customHeight="1" x14ac:dyDescent="0.2">
      <c r="J8" s="30"/>
      <c r="K8" s="30"/>
      <c r="O8" s="30"/>
    </row>
    <row r="9" spans="1:18" x14ac:dyDescent="0.2">
      <c r="B9" s="11" t="s">
        <v>41</v>
      </c>
      <c r="J9" s="30"/>
      <c r="K9" s="30"/>
      <c r="O9" s="30"/>
    </row>
    <row r="10" spans="1:18" x14ac:dyDescent="0.2">
      <c r="B10" s="10" t="s">
        <v>86</v>
      </c>
      <c r="J10" s="30"/>
      <c r="K10" s="30"/>
      <c r="O10" s="30"/>
    </row>
    <row r="11" spans="1:18" ht="16.5" customHeight="1" x14ac:dyDescent="0.25">
      <c r="C11" s="12" t="s">
        <v>42</v>
      </c>
      <c r="F11" s="13" t="str">
        <f>IF(J11=0," ",IF($J$16&gt;300," ",'Input Enrollment'!G7))</f>
        <v xml:space="preserve"> </v>
      </c>
      <c r="G11" s="28" t="s">
        <v>92</v>
      </c>
      <c r="H11" s="41" t="str">
        <f>IF(J11=0," ",'Exceptional Child Calc'!H25)</f>
        <v xml:space="preserve"> </v>
      </c>
      <c r="I11" s="15" t="s">
        <v>15</v>
      </c>
      <c r="J11" s="73">
        <f>IF('Input Enrollment'!G7=0,0,IF(SUM('Input Enrollment'!G7-'Exceptional Child Calc'!H25)+SUM('Input Enrollment'!G8-'Exceptional Child Calc'!H26)&gt;299.99,SUM('Input Enrollment'!G7-'Exceptional Child Calc'!H25),0))</f>
        <v>0</v>
      </c>
      <c r="K11" s="73"/>
      <c r="L11" s="17" t="s">
        <v>51</v>
      </c>
      <c r="M11" s="13">
        <f>IF(SUM('Input Enrollment'!$G$7-'Exceptional Child Calc'!$H$25)+SUM('Input Enrollment'!$G$8-'Exceptional Child Calc'!$H$26)&gt;299.99,20,0)</f>
        <v>0</v>
      </c>
      <c r="N11" s="15" t="s">
        <v>15</v>
      </c>
      <c r="O11" s="41">
        <f>ROUND(IF(SUM('Input Enrollment'!$G$7-'Exceptional Child Calc'!$H$25)+SUM('Input Enrollment'!$G$8-'Exceptional Child Calc'!$H$26)&lt;299.99,0,IF(Q11+Q13&lt;15,0,(J11/M11))),2)</f>
        <v>0</v>
      </c>
      <c r="P11" t="str">
        <f>IF(O11=0," ",IF(O11=Q11," ","Minimum"))</f>
        <v xml:space="preserve"> </v>
      </c>
      <c r="Q11" s="51">
        <f>ROUND(IF(SUM('Input Enrollment'!$G$7-'Exceptional Child Calc'!$H$25)+SUM('Input Enrollment'!$G$8-'Exceptional Child Calc'!$H$26)&lt;299.99,0,(J11/M11)),2)</f>
        <v>0</v>
      </c>
    </row>
    <row r="12" spans="1:18" ht="9" customHeight="1" x14ac:dyDescent="0.2">
      <c r="B12" s="12"/>
      <c r="J12" s="30"/>
      <c r="K12" s="30"/>
      <c r="O12" s="30"/>
    </row>
    <row r="13" spans="1:18" ht="15.75" x14ac:dyDescent="0.25">
      <c r="C13" s="12" t="s">
        <v>43</v>
      </c>
      <c r="F13" s="13" t="str">
        <f>IF(J13=0," ",IF($J$16&gt;300," ",'Input Enrollment'!G8))</f>
        <v xml:space="preserve"> </v>
      </c>
      <c r="G13" s="28" t="s">
        <v>92</v>
      </c>
      <c r="H13" s="41" t="str">
        <f>IF(J13=0," ",'Exceptional Child Calc'!H26)</f>
        <v xml:space="preserve"> </v>
      </c>
      <c r="I13" s="15" t="s">
        <v>15</v>
      </c>
      <c r="J13" s="73">
        <f>IF('Input Enrollment'!G8=0,0,IF(SUM('Input Enrollment'!G7-'Exceptional Child Calc'!H25)+SUM('Input Enrollment'!G8-'Exceptional Child Calc'!H26)&gt;299.99,SUM('Input Enrollment'!G8-'Exceptional Child Calc'!H26),0))</f>
        <v>0</v>
      </c>
      <c r="K13" s="73"/>
      <c r="L13" s="17" t="s">
        <v>51</v>
      </c>
      <c r="M13" s="13">
        <f>IF(SUM('Input Enrollment'!$G$7-'Exceptional Child Calc'!$H$25)+SUM('Input Enrollment'!$G$8-'Exceptional Child Calc'!$H$26)&gt;299.99,23,0)</f>
        <v>0</v>
      </c>
      <c r="N13" s="15" t="s">
        <v>15</v>
      </c>
      <c r="O13" s="41">
        <f>ROUND(IF(SUM('Input Enrollment'!$G$7-'Exceptional Child Calc'!$H$25)+SUM('Input Enrollment'!$G$8-'Exceptional Child Calc'!$H$26)&lt;299.99,0,IF(Q11+Q13&lt;15,0,($J$13/$M$13))),2)</f>
        <v>0</v>
      </c>
      <c r="P13" t="str">
        <f>IF(O13=0," ",IF(O13=Q13," ","Minimum"))</f>
        <v xml:space="preserve"> </v>
      </c>
      <c r="Q13" s="51">
        <f>ROUND(IF(SUM('Input Enrollment'!$G$7-'Exceptional Child Calc'!$H$25)+SUM('Input Enrollment'!$G$8-'Exceptional Child Calc'!$H$26)&lt;299.99,0,($J$13/$M$13)),2)</f>
        <v>0</v>
      </c>
    </row>
    <row r="14" spans="1:18" ht="15" x14ac:dyDescent="0.2">
      <c r="B14" s="11" t="s">
        <v>41</v>
      </c>
      <c r="F14" s="16"/>
      <c r="G14" s="28"/>
      <c r="H14" s="31"/>
      <c r="I14" s="15"/>
      <c r="O14" s="50" t="str">
        <f>IF(P14="Minimum",15," ")</f>
        <v xml:space="preserve"> </v>
      </c>
      <c r="P14" t="str">
        <f>IF(Q11+Q13=0," ",IF(Q11+Q13&lt;15,"Minimum"," "))</f>
        <v xml:space="preserve"> </v>
      </c>
    </row>
    <row r="15" spans="1:18" x14ac:dyDescent="0.2">
      <c r="B15" s="10" t="s">
        <v>96</v>
      </c>
      <c r="O15" s="30"/>
    </row>
    <row r="16" spans="1:18" ht="15.75" x14ac:dyDescent="0.25">
      <c r="C16" s="12" t="s">
        <v>44</v>
      </c>
      <c r="F16" s="13" t="str">
        <f>IF(J16=0," ",IF(J16&lt;300,SUM('Input Enrollment'!G7+'Input Enrollment'!G8)," "))</f>
        <v xml:space="preserve"> </v>
      </c>
      <c r="G16" s="28" t="s">
        <v>92</v>
      </c>
      <c r="H16" s="41" t="str">
        <f>IF(J16=0," ",'Exceptional Child Calc'!H22)</f>
        <v xml:space="preserve"> </v>
      </c>
      <c r="I16" s="15" t="s">
        <v>15</v>
      </c>
      <c r="J16" s="73">
        <f>IF('Input Enrollment'!G9=0,0,IF(SUM('Input Enrollment'!G7-'Exceptional Child Calc'!H25)+SUM('Input Enrollment'!G8-'Exceptional Child Calc'!H26)&lt;300,IF(P7="ADD to 1-6",SUM('Input Enrollment'!G7-'Exceptional Child Calc'!H25)+SUM('Input Enrollment'!G8-'Exceptional Child Calc'!H26)+'Input Enrollment'!G4,SUM('Input Enrollment'!G7-'Exceptional Child Calc'!H25)+SUM('Input Enrollment'!G8-'Exceptional Child Calc'!H26)),0))</f>
        <v>0</v>
      </c>
      <c r="K16" s="73"/>
      <c r="L16" s="17" t="s">
        <v>51</v>
      </c>
      <c r="M16" s="13">
        <f>IF(SUM('Input Enrollment'!$G$7-'Exceptional Child Calc'!$H$25)+SUM('Input Enrollment'!$G$8-'Exceptional Child Calc'!$H$26)&lt;299.99,LOOKUP(J16,criteria!$M$3:$M$11,criteria!$N$3:$N$11),0)</f>
        <v>0</v>
      </c>
      <c r="N16" s="15" t="s">
        <v>15</v>
      </c>
      <c r="O16" s="41">
        <f>IF(Q16=0,0,IF(Q16&lt;LOOKUP(J16,criteria!$M$3:$M$10,criteria!$O$3:$O$10),LOOKUP(J16,criteria!$M$3:$M$10,criteria!$O$3:$O$10),Q16))</f>
        <v>0</v>
      </c>
      <c r="P16" t="str">
        <f>IF(O16=0," ",IF(O16=Q16," ","Minimum"))</f>
        <v xml:space="preserve"> </v>
      </c>
      <c r="Q16" s="51">
        <f>ROUND(IF('Input Enrollment'!G9=0,0,IF(SUM('Input Enrollment'!$G$7-'Exceptional Child Calc'!$H$25)+SUM('Input Enrollment'!$G$8-'Exceptional Child Calc'!$H$26)&gt;299.99,0,(J16/M16))),2)</f>
        <v>0</v>
      </c>
    </row>
    <row r="17" spans="1:17" ht="6" customHeight="1" x14ac:dyDescent="0.2">
      <c r="J17" s="30"/>
      <c r="K17" s="30"/>
      <c r="O17" s="30"/>
    </row>
    <row r="18" spans="1:17" ht="15.75" x14ac:dyDescent="0.25">
      <c r="B18" s="11" t="s">
        <v>45</v>
      </c>
      <c r="F18" s="13" t="str">
        <f>IF(J18=0," ",'Input Enrollment'!G10)</f>
        <v xml:space="preserve"> </v>
      </c>
      <c r="G18" s="28" t="s">
        <v>92</v>
      </c>
      <c r="H18" s="41"/>
      <c r="I18" s="15" t="s">
        <v>15</v>
      </c>
      <c r="J18" s="73">
        <f>IF('Input Enrollment'!G10=0,0,'Input Enrollment'!G10)</f>
        <v>0</v>
      </c>
      <c r="K18" s="73"/>
      <c r="L18" s="17" t="s">
        <v>51</v>
      </c>
      <c r="M18" s="13">
        <f>IF(J18=0,0,IF(J18&gt;99.99,LOOKUP(J18,criteria!Q3:Q10,criteria!R3:R10),12))</f>
        <v>0</v>
      </c>
      <c r="N18" s="15" t="s">
        <v>15</v>
      </c>
      <c r="O18" s="41">
        <f>ROUND(IF(J18=0,0,IF(J18&lt;99.99,IF(M18=0,8,(J18/M18)),IF(Q18&lt;LOOKUP(J18,criteria!$Q$3:$Q$10,criteria!$S$3:$S$10),LOOKUP(J18,criteria!$Q$3:$Q$10,criteria!$S$3:$S$10),Q18))),2)</f>
        <v>0</v>
      </c>
      <c r="P18" t="str">
        <f>IF(O18=0," ",IF(O18=Q18," ","Minimum"))</f>
        <v xml:space="preserve"> </v>
      </c>
      <c r="Q18" s="51">
        <f>ROUND(IF(M18=0,0,(J18/M18)),2)</f>
        <v>0</v>
      </c>
    </row>
    <row r="19" spans="1:17" x14ac:dyDescent="0.2">
      <c r="B19" s="11"/>
      <c r="J19" s="31"/>
      <c r="K19" s="31"/>
      <c r="M19" s="16"/>
      <c r="N19" s="15"/>
      <c r="O19" s="16"/>
    </row>
    <row r="20" spans="1:17" ht="15.75" x14ac:dyDescent="0.25">
      <c r="A20" s="4" t="s">
        <v>46</v>
      </c>
      <c r="J20" s="30"/>
      <c r="K20" s="30"/>
    </row>
    <row r="21" spans="1:17" ht="3.75" customHeight="1" x14ac:dyDescent="0.2">
      <c r="J21" s="30"/>
      <c r="K21" s="30"/>
    </row>
    <row r="22" spans="1:17" x14ac:dyDescent="0.2">
      <c r="B22" t="s">
        <v>47</v>
      </c>
      <c r="J22" s="73" t="str">
        <f>IF('Exceptional Child Calc'!H55=0," ",'Exceptional Child Calc'!H55)</f>
        <v xml:space="preserve"> </v>
      </c>
      <c r="K22" s="73"/>
    </row>
    <row r="23" spans="1:17" ht="6" customHeight="1" x14ac:dyDescent="0.2">
      <c r="J23" s="30"/>
      <c r="K23" s="30"/>
    </row>
    <row r="24" spans="1:17" x14ac:dyDescent="0.2">
      <c r="B24" t="s">
        <v>48</v>
      </c>
      <c r="J24" s="73" t="str">
        <f>IF('Exceptional Child Calc'!H22=0," ",'Exceptional Child Calc'!H22)</f>
        <v xml:space="preserve"> </v>
      </c>
      <c r="K24" s="73"/>
    </row>
    <row r="25" spans="1:17" ht="6" customHeight="1" x14ac:dyDescent="0.2">
      <c r="J25" s="30"/>
      <c r="K25" s="30"/>
    </row>
    <row r="26" spans="1:17" x14ac:dyDescent="0.2">
      <c r="B26" t="s">
        <v>49</v>
      </c>
      <c r="J26" s="73">
        <f>0</f>
        <v>0</v>
      </c>
      <c r="K26" s="73"/>
    </row>
    <row r="27" spans="1:17" ht="6" customHeight="1" x14ac:dyDescent="0.2">
      <c r="J27" s="30"/>
      <c r="K27" s="30"/>
    </row>
    <row r="28" spans="1:17" ht="6" customHeight="1" x14ac:dyDescent="0.2">
      <c r="J28" s="31"/>
      <c r="K28" s="31"/>
    </row>
    <row r="29" spans="1:17" ht="13.5" customHeight="1" thickBot="1" x14ac:dyDescent="0.3">
      <c r="B29" s="1" t="s">
        <v>50</v>
      </c>
      <c r="J29" s="74">
        <f>SUM(J22:K27)</f>
        <v>0</v>
      </c>
      <c r="K29" s="74"/>
      <c r="L29" s="17" t="s">
        <v>51</v>
      </c>
      <c r="M29" s="13">
        <f>IF(SUM('Input Enrollment'!C4:C10)=0,0,IF(J29&gt;=14,LOOKUP(J29,criteria!$U$3:$U$10,criteria!$V$3:$V$10),0))</f>
        <v>0</v>
      </c>
      <c r="N29" s="15" t="s">
        <v>15</v>
      </c>
      <c r="O29" s="41">
        <f>IF(J29=0,0,IF(Q29&lt;LOOKUP(J29,criteria!$U$3:$U$10,criteria!$W$3:$W$10),LOOKUP(J29,criteria!$U$3:$U$10,criteria!$W$3:$W$10),Q29))</f>
        <v>0</v>
      </c>
      <c r="P29" t="str">
        <f>IF(O29=0," ",IF(O29=Q29," ","Minimum"))</f>
        <v xml:space="preserve"> </v>
      </c>
      <c r="Q29" s="51">
        <f>ROUND(IF(SUM('Input Enrollment'!C4:C10)=0,0,IF(M29=0,0,(J29/M29))),2)</f>
        <v>0</v>
      </c>
    </row>
    <row r="30" spans="1:17" ht="12" customHeight="1" thickTop="1" x14ac:dyDescent="0.2">
      <c r="B30" s="84"/>
      <c r="C30" s="84"/>
      <c r="D30" s="84"/>
      <c r="E30" s="84"/>
      <c r="F30" s="42"/>
      <c r="G30" s="42"/>
      <c r="H30" s="42"/>
      <c r="J30" s="12"/>
      <c r="N30" s="15"/>
      <c r="O30" s="31"/>
      <c r="P30" s="1"/>
    </row>
    <row r="31" spans="1:17" ht="19.5" customHeight="1" x14ac:dyDescent="0.25">
      <c r="A31" s="4" t="s">
        <v>106</v>
      </c>
      <c r="O31" s="30"/>
    </row>
    <row r="32" spans="1:17" ht="15.75" x14ac:dyDescent="0.25">
      <c r="B32" s="82" t="str">
        <f>IF('Input Enrollment'!E14=0," ","Alternative Secondary High School")</f>
        <v xml:space="preserve"> </v>
      </c>
      <c r="C32" s="82"/>
      <c r="D32" s="82"/>
      <c r="E32" s="82"/>
      <c r="F32" s="83"/>
      <c r="G32" s="5"/>
      <c r="H32" s="5"/>
      <c r="I32" s="5"/>
      <c r="J32" s="73">
        <f>'Input Enrollment'!G14</f>
        <v>0</v>
      </c>
      <c r="K32" s="73"/>
      <c r="L32" s="17" t="s">
        <v>51</v>
      </c>
      <c r="M32" s="13">
        <f>IF(J32=0,0,IF(Q32&lt;1,M18,12))</f>
        <v>0</v>
      </c>
      <c r="N32" s="15" t="s">
        <v>15</v>
      </c>
      <c r="O32" s="41">
        <f>ROUND(IF(J32=0,0,J32/M32),2)</f>
        <v>0</v>
      </c>
      <c r="P32" s="7"/>
      <c r="Q32" s="51">
        <f>ROUND(IF(J32=0,0,J32/12),2)</f>
        <v>0</v>
      </c>
    </row>
    <row r="33" spans="1:17" ht="11.25" customHeight="1" x14ac:dyDescent="0.2">
      <c r="J33" s="30"/>
      <c r="K33" s="30"/>
      <c r="O33" s="30"/>
    </row>
    <row r="34" spans="1:17" ht="11.25" customHeight="1" x14ac:dyDescent="0.25">
      <c r="B34" s="82" t="str">
        <f>IF('Input Enrollment'!E15=0," ","Summer Alternative Secondary High School")</f>
        <v xml:space="preserve"> </v>
      </c>
      <c r="C34" s="82"/>
      <c r="D34" s="82"/>
      <c r="E34" s="82"/>
      <c r="F34" s="83"/>
      <c r="G34" s="5"/>
      <c r="J34" s="73">
        <f>'Input Enrollment'!E15</f>
        <v>0</v>
      </c>
      <c r="K34" s="73"/>
      <c r="L34" s="17" t="s">
        <v>51</v>
      </c>
      <c r="M34" s="13">
        <f>IF(J34=0,0,40)</f>
        <v>0</v>
      </c>
      <c r="N34" s="15" t="s">
        <v>15</v>
      </c>
      <c r="O34" s="41">
        <f>ROUND(IF(J34=0,0,J34/M34),2)</f>
        <v>0</v>
      </c>
      <c r="P34" s="7"/>
      <c r="Q34" s="51">
        <f>ROUND(IF(J34=0,0,J34/12),2)</f>
        <v>0</v>
      </c>
    </row>
    <row r="35" spans="1:17" ht="13.5" customHeight="1" x14ac:dyDescent="0.25">
      <c r="J35" s="16"/>
      <c r="K35" s="16"/>
      <c r="L35" s="17"/>
      <c r="M35" s="16"/>
      <c r="N35" s="15"/>
      <c r="O35" s="16"/>
      <c r="P35" s="1"/>
    </row>
    <row r="36" spans="1:17" ht="18.75" customHeight="1" thickBot="1" x14ac:dyDescent="0.25">
      <c r="A36" s="7"/>
      <c r="B36" s="12" t="s">
        <v>104</v>
      </c>
      <c r="C36" s="1"/>
      <c r="D36" s="1"/>
      <c r="E36" s="1"/>
      <c r="F36" s="1"/>
      <c r="G36" s="1"/>
      <c r="H36" s="1"/>
      <c r="I36" s="1"/>
      <c r="J36" s="1"/>
      <c r="K36" s="1"/>
      <c r="M36" s="18"/>
      <c r="O36" s="67">
        <f>ROUND(IF(SUM(O7:O34)=0,0,SUM(O7:O34)),2)</f>
        <v>0</v>
      </c>
    </row>
    <row r="37" spans="1:17" ht="13.5" thickTop="1" x14ac:dyDescent="0.2">
      <c r="M37" s="81" t="str">
        <f>IF(O36=0," ",IF(O36&lt;'Best 28'!O36,"Do Not Use","You May Use this Calculation"))</f>
        <v xml:space="preserve"> </v>
      </c>
      <c r="N37" s="81"/>
      <c r="O37" s="81"/>
      <c r="P37" s="81"/>
    </row>
  </sheetData>
  <sheetProtection password="CC16" sheet="1" objects="1" scenarios="1"/>
  <mergeCells count="19">
    <mergeCell ref="A3:O3"/>
    <mergeCell ref="A1:O1"/>
    <mergeCell ref="A2:O2"/>
    <mergeCell ref="J18:K18"/>
    <mergeCell ref="J13:K13"/>
    <mergeCell ref="J16:K16"/>
    <mergeCell ref="J5:K5"/>
    <mergeCell ref="J11:K11"/>
    <mergeCell ref="J7:K7"/>
    <mergeCell ref="B30:E30"/>
    <mergeCell ref="M37:P37"/>
    <mergeCell ref="J29:K29"/>
    <mergeCell ref="J22:K22"/>
    <mergeCell ref="J24:K24"/>
    <mergeCell ref="J26:K26"/>
    <mergeCell ref="J32:K32"/>
    <mergeCell ref="B32:F32"/>
    <mergeCell ref="B34:F34"/>
    <mergeCell ref="J34:K34"/>
  </mergeCells>
  <phoneticPr fontId="0" type="noConversion"/>
  <conditionalFormatting sqref="M37:P37">
    <cfRule type="cellIs" dxfId="1" priority="1" stopIfTrue="1" operator="equal">
      <formula>"Do Not Use"</formula>
    </cfRule>
    <cfRule type="cellIs" dxfId="0" priority="2" stopIfTrue="1" operator="equal">
      <formula>"You May Use this Calculation"</formula>
    </cfRule>
  </conditionalFormatting>
  <pageMargins left="0.5" right="0.5" top="0.5" bottom="0.5" header="0.25" footer="0.25"/>
  <pageSetup scale="76" orientation="portrait" r:id="rId1"/>
  <headerFooter alignWithMargins="0">
    <oddFooter>&amp;L&amp;F</oddFooter>
  </headerFooter>
  <colBreaks count="1" manualBreakCount="1">
    <brk id="1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showGridLines="0" topLeftCell="A37" zoomScaleNormal="100" workbookViewId="0">
      <selection activeCell="H16" sqref="H16:I16"/>
    </sheetView>
  </sheetViews>
  <sheetFormatPr defaultRowHeight="12.75" x14ac:dyDescent="0.2"/>
  <cols>
    <col min="1" max="1" width="6" style="3" customWidth="1"/>
    <col min="6" max="6" width="17.140625" customWidth="1"/>
    <col min="7" max="7" width="2.7109375" style="3" customWidth="1"/>
    <col min="10" max="10" width="6.5703125" customWidth="1"/>
    <col min="11" max="11" width="10.28515625" bestFit="1" customWidth="1"/>
  </cols>
  <sheetData>
    <row r="1" spans="1:11" ht="15.75" x14ac:dyDescent="0.25">
      <c r="I1" s="2"/>
      <c r="K1" s="2" t="s">
        <v>4</v>
      </c>
    </row>
    <row r="3" spans="1:11" ht="15.75" x14ac:dyDescent="0.2">
      <c r="A3" s="77" t="s">
        <v>99</v>
      </c>
      <c r="B3" s="77"/>
      <c r="C3" s="77"/>
      <c r="D3" s="77"/>
      <c r="E3" s="77"/>
      <c r="F3" s="77"/>
      <c r="G3" s="77"/>
      <c r="H3" s="77"/>
      <c r="I3" s="77"/>
      <c r="J3" s="83"/>
      <c r="K3" s="83"/>
    </row>
    <row r="5" spans="1:11" ht="15.75" x14ac:dyDescent="0.2">
      <c r="A5" s="77" t="s">
        <v>0</v>
      </c>
      <c r="B5" s="77"/>
      <c r="C5" s="77"/>
      <c r="D5" s="77"/>
      <c r="E5" s="77"/>
      <c r="F5" s="77"/>
      <c r="G5" s="77"/>
      <c r="H5" s="77"/>
      <c r="I5" s="77"/>
      <c r="J5" s="87"/>
      <c r="K5" s="83"/>
    </row>
    <row r="6" spans="1:11" x14ac:dyDescent="0.2">
      <c r="K6" t="s">
        <v>16</v>
      </c>
    </row>
    <row r="7" spans="1:11" x14ac:dyDescent="0.2">
      <c r="K7" t="s">
        <v>17</v>
      </c>
    </row>
    <row r="8" spans="1:11" ht="15.75" x14ac:dyDescent="0.25">
      <c r="A8" s="4" t="s">
        <v>1</v>
      </c>
    </row>
    <row r="9" spans="1:11" ht="8.25" customHeight="1" x14ac:dyDescent="0.25">
      <c r="A9" s="4"/>
    </row>
    <row r="10" spans="1:11" ht="15" x14ac:dyDescent="0.2">
      <c r="A10" s="7" t="s">
        <v>2</v>
      </c>
      <c r="B10" s="1" t="s">
        <v>100</v>
      </c>
      <c r="C10" s="1"/>
      <c r="D10" s="1"/>
      <c r="E10" s="1"/>
      <c r="F10" s="1"/>
      <c r="G10" s="7" t="s">
        <v>15</v>
      </c>
      <c r="H10" s="85">
        <f>IF('Input Enrollment'!C4+'Input Enrollment'!C7=0,0,SUM('Input Enrollment'!C4+'Input Enrollment'!C7))</f>
        <v>0</v>
      </c>
      <c r="I10" s="85"/>
      <c r="J10" s="8"/>
      <c r="K10" s="20">
        <f>IF(H10=0,0,(H10/($H$10+$H$13)))</f>
        <v>0</v>
      </c>
    </row>
    <row r="11" spans="1:11" ht="7.5" customHeight="1" x14ac:dyDescent="0.2">
      <c r="H11" s="21"/>
      <c r="I11" s="21"/>
    </row>
    <row r="12" spans="1:11" s="1" customFormat="1" ht="15" x14ac:dyDescent="0.2">
      <c r="A12" s="7" t="s">
        <v>3</v>
      </c>
      <c r="B12" s="1" t="s">
        <v>101</v>
      </c>
      <c r="G12" s="7"/>
      <c r="H12" s="22"/>
      <c r="I12" s="22"/>
    </row>
    <row r="13" spans="1:11" ht="15" x14ac:dyDescent="0.2">
      <c r="B13" s="10" t="s">
        <v>5</v>
      </c>
      <c r="G13" s="3" t="s">
        <v>15</v>
      </c>
      <c r="H13" s="85">
        <f>IF('Input Enrollment'!C8=0,0,SUM('Input Enrollment'!C8))</f>
        <v>0</v>
      </c>
      <c r="I13" s="85"/>
      <c r="J13" s="5"/>
      <c r="K13" s="20">
        <f>IF(H13=0,0,(H13/($H$10+$H$13)))</f>
        <v>0</v>
      </c>
    </row>
    <row r="14" spans="1:11" ht="6.75" customHeight="1" x14ac:dyDescent="0.2">
      <c r="H14" s="21"/>
      <c r="I14" s="21"/>
    </row>
    <row r="15" spans="1:11" s="1" customFormat="1" ht="15" x14ac:dyDescent="0.2">
      <c r="A15" s="7" t="s">
        <v>6</v>
      </c>
      <c r="B15" s="1" t="s">
        <v>7</v>
      </c>
      <c r="G15" s="7"/>
      <c r="H15" s="22"/>
      <c r="I15" s="22"/>
    </row>
    <row r="16" spans="1:11" s="1" customFormat="1" ht="15" x14ac:dyDescent="0.2">
      <c r="A16" s="7"/>
      <c r="B16" s="1" t="s">
        <v>8</v>
      </c>
      <c r="G16" s="7" t="s">
        <v>15</v>
      </c>
      <c r="H16" s="86">
        <f>IF('Input Enrollment'!C22=0,0,SUM('Input Enrollment'!C22))</f>
        <v>0</v>
      </c>
      <c r="I16" s="86"/>
      <c r="J16" s="8"/>
      <c r="K16" s="9"/>
    </row>
    <row r="17" spans="1:11" ht="6.75" customHeight="1" x14ac:dyDescent="0.2">
      <c r="H17" s="21"/>
      <c r="I17" s="21"/>
      <c r="K17" s="6"/>
    </row>
    <row r="18" spans="1:11" s="1" customFormat="1" ht="15" x14ac:dyDescent="0.2">
      <c r="A18" s="7" t="s">
        <v>9</v>
      </c>
      <c r="B18" s="1" t="s">
        <v>10</v>
      </c>
      <c r="G18" s="7" t="s">
        <v>15</v>
      </c>
      <c r="H18" s="85">
        <f>H10+H13-H16</f>
        <v>0</v>
      </c>
      <c r="I18" s="85"/>
      <c r="J18" s="8"/>
      <c r="K18" s="9"/>
    </row>
    <row r="19" spans="1:11" ht="6.75" customHeight="1" x14ac:dyDescent="0.2">
      <c r="H19" s="30"/>
      <c r="I19" s="30"/>
      <c r="K19" s="6"/>
    </row>
    <row r="20" spans="1:11" s="1" customFormat="1" ht="15" x14ac:dyDescent="0.2">
      <c r="A20" s="7" t="s">
        <v>11</v>
      </c>
      <c r="B20" s="1" t="s">
        <v>12</v>
      </c>
      <c r="G20" s="7" t="s">
        <v>15</v>
      </c>
      <c r="H20" s="85">
        <f>H18*0.06</f>
        <v>0</v>
      </c>
      <c r="I20" s="85"/>
      <c r="J20" s="8"/>
      <c r="K20" s="9"/>
    </row>
    <row r="21" spans="1:11" ht="6.75" customHeight="1" x14ac:dyDescent="0.2">
      <c r="H21" s="30"/>
      <c r="I21" s="30"/>
      <c r="K21" s="6"/>
    </row>
    <row r="22" spans="1:11" s="1" customFormat="1" ht="15" x14ac:dyDescent="0.2">
      <c r="A22" s="7" t="s">
        <v>13</v>
      </c>
      <c r="B22" s="1" t="s">
        <v>52</v>
      </c>
      <c r="G22" s="7" t="s">
        <v>15</v>
      </c>
      <c r="H22" s="85">
        <f>H16+H20</f>
        <v>0</v>
      </c>
      <c r="I22" s="85"/>
      <c r="J22" s="8"/>
      <c r="K22" s="9"/>
    </row>
    <row r="23" spans="1:11" s="1" customFormat="1" ht="15" x14ac:dyDescent="0.2">
      <c r="A23" s="7"/>
      <c r="B23" s="1" t="s">
        <v>14</v>
      </c>
      <c r="G23" s="7"/>
      <c r="H23" s="22"/>
      <c r="I23" s="22"/>
    </row>
    <row r="24" spans="1:11" s="1" customFormat="1" ht="15" x14ac:dyDescent="0.2">
      <c r="A24" s="7"/>
      <c r="G24" s="7"/>
      <c r="H24" s="22"/>
      <c r="I24" s="22"/>
    </row>
    <row r="25" spans="1:11" s="1" customFormat="1" ht="15" x14ac:dyDescent="0.2">
      <c r="A25" s="7" t="s">
        <v>65</v>
      </c>
      <c r="B25" s="27">
        <f>K10</f>
        <v>0</v>
      </c>
      <c r="C25" s="28" t="s">
        <v>63</v>
      </c>
      <c r="D25" s="29">
        <f>H22</f>
        <v>0</v>
      </c>
      <c r="E25" s="1" t="s">
        <v>64</v>
      </c>
      <c r="G25" s="7" t="s">
        <v>15</v>
      </c>
      <c r="H25" s="85">
        <f>ROUND(SUM(B25*D25),2)</f>
        <v>0</v>
      </c>
      <c r="I25" s="85"/>
    </row>
    <row r="26" spans="1:11" s="1" customFormat="1" ht="15" x14ac:dyDescent="0.2">
      <c r="A26" s="7" t="s">
        <v>66</v>
      </c>
      <c r="B26" s="27">
        <f>K13</f>
        <v>0</v>
      </c>
      <c r="C26" s="28" t="s">
        <v>63</v>
      </c>
      <c r="D26" s="29">
        <f>H22</f>
        <v>0</v>
      </c>
      <c r="E26" s="1" t="s">
        <v>62</v>
      </c>
      <c r="G26" s="7" t="s">
        <v>15</v>
      </c>
      <c r="H26" s="88">
        <f>ROUND(SUM(H22-H25),2)</f>
        <v>0</v>
      </c>
      <c r="I26" s="88"/>
    </row>
    <row r="27" spans="1:11" s="1" customFormat="1" ht="15" x14ac:dyDescent="0.2">
      <c r="A27" s="7"/>
      <c r="G27" s="7"/>
      <c r="H27" s="22"/>
      <c r="I27" s="22"/>
    </row>
    <row r="28" spans="1:11" ht="15.75" x14ac:dyDescent="0.25">
      <c r="A28" s="4" t="s">
        <v>18</v>
      </c>
      <c r="H28" s="21"/>
      <c r="I28" s="21"/>
    </row>
    <row r="29" spans="1:11" ht="6.75" customHeight="1" x14ac:dyDescent="0.2">
      <c r="H29" s="21"/>
      <c r="I29" s="21"/>
    </row>
    <row r="30" spans="1:11" s="1" customFormat="1" ht="15" x14ac:dyDescent="0.2">
      <c r="A30" s="7" t="s">
        <v>19</v>
      </c>
      <c r="B30" s="1" t="s">
        <v>102</v>
      </c>
      <c r="G30" s="7"/>
      <c r="H30" s="22"/>
      <c r="I30" s="22"/>
    </row>
    <row r="31" spans="1:11" s="1" customFormat="1" ht="15" x14ac:dyDescent="0.2">
      <c r="A31" s="7"/>
      <c r="B31" s="1" t="s">
        <v>20</v>
      </c>
      <c r="G31" s="7" t="s">
        <v>15</v>
      </c>
      <c r="H31" s="85">
        <f>IF('Input Enrollment'!$C$10=0,0,'Input Enrollment'!C10)</f>
        <v>0</v>
      </c>
      <c r="I31" s="85"/>
    </row>
    <row r="32" spans="1:11" s="1" customFormat="1" ht="15" x14ac:dyDescent="0.2">
      <c r="A32" s="7"/>
      <c r="B32" s="10" t="s">
        <v>21</v>
      </c>
      <c r="G32" s="7"/>
      <c r="H32" s="22"/>
      <c r="I32" s="22"/>
    </row>
    <row r="33" spans="1:9" s="1" customFormat="1" ht="15" x14ac:dyDescent="0.2">
      <c r="A33" s="7"/>
      <c r="B33" s="10" t="s">
        <v>22</v>
      </c>
      <c r="G33" s="7"/>
      <c r="H33" s="22"/>
      <c r="I33" s="22"/>
    </row>
    <row r="34" spans="1:9" ht="6.75" customHeight="1" x14ac:dyDescent="0.2">
      <c r="H34" s="21"/>
      <c r="I34" s="21"/>
    </row>
    <row r="35" spans="1:9" s="1" customFormat="1" ht="15" x14ac:dyDescent="0.2">
      <c r="A35" s="7" t="s">
        <v>23</v>
      </c>
      <c r="B35" s="1" t="s">
        <v>56</v>
      </c>
      <c r="G35" s="7"/>
      <c r="H35" s="22"/>
      <c r="I35" s="22"/>
    </row>
    <row r="36" spans="1:9" s="1" customFormat="1" ht="15" x14ac:dyDescent="0.2">
      <c r="A36" s="7"/>
      <c r="B36" s="1" t="s">
        <v>53</v>
      </c>
      <c r="G36" s="7"/>
      <c r="H36" s="22"/>
      <c r="I36" s="22"/>
    </row>
    <row r="37" spans="1:9" s="1" customFormat="1" ht="15" x14ac:dyDescent="0.2">
      <c r="A37" s="7"/>
      <c r="B37" s="10" t="s">
        <v>24</v>
      </c>
      <c r="G37" s="7" t="s">
        <v>15</v>
      </c>
      <c r="H37" s="85">
        <f>IF('Input Enrollment'!C23=0,0,SUM('Input Enrollment'!C23))</f>
        <v>0</v>
      </c>
      <c r="I37" s="85"/>
    </row>
    <row r="38" spans="1:9" ht="6.75" customHeight="1" x14ac:dyDescent="0.2">
      <c r="H38" s="30"/>
      <c r="I38" s="30"/>
    </row>
    <row r="39" spans="1:9" s="1" customFormat="1" ht="15" x14ac:dyDescent="0.2">
      <c r="A39" s="7" t="s">
        <v>25</v>
      </c>
      <c r="B39" s="1" t="s">
        <v>26</v>
      </c>
      <c r="G39" s="7" t="s">
        <v>15</v>
      </c>
      <c r="H39" s="85">
        <f>IF('Input Enrollment'!$C$10=0,0,SUM(H31-H37))</f>
        <v>0</v>
      </c>
      <c r="I39" s="85"/>
    </row>
    <row r="40" spans="1:9" ht="6.75" customHeight="1" x14ac:dyDescent="0.2">
      <c r="H40" s="30"/>
      <c r="I40" s="30"/>
    </row>
    <row r="41" spans="1:9" s="1" customFormat="1" ht="15" x14ac:dyDescent="0.2">
      <c r="A41" s="7" t="s">
        <v>27</v>
      </c>
      <c r="B41" s="1" t="s">
        <v>28</v>
      </c>
      <c r="G41" s="7" t="s">
        <v>15</v>
      </c>
      <c r="H41" s="85">
        <f>IF('Input Enrollment'!$C$10=0,0,H39*0.055)</f>
        <v>0</v>
      </c>
      <c r="I41" s="85"/>
    </row>
    <row r="42" spans="1:9" ht="6.75" customHeight="1" x14ac:dyDescent="0.2">
      <c r="H42" s="30"/>
      <c r="I42" s="30"/>
    </row>
    <row r="43" spans="1:9" s="1" customFormat="1" ht="15" x14ac:dyDescent="0.2">
      <c r="A43" s="7" t="s">
        <v>29</v>
      </c>
      <c r="B43" s="1" t="s">
        <v>30</v>
      </c>
      <c r="G43" s="7" t="s">
        <v>15</v>
      </c>
      <c r="H43" s="85">
        <f>ROUND(IF('Input Enrollment'!$C$10=0,0,SUM(H37+H41)),2)</f>
        <v>0</v>
      </c>
      <c r="I43" s="85"/>
    </row>
    <row r="44" spans="1:9" s="1" customFormat="1" ht="15" x14ac:dyDescent="0.2">
      <c r="A44" s="7"/>
      <c r="B44" s="1" t="s">
        <v>31</v>
      </c>
      <c r="G44" s="7"/>
    </row>
    <row r="46" spans="1:9" ht="15.75" x14ac:dyDescent="0.25">
      <c r="A46" s="4" t="s">
        <v>32</v>
      </c>
    </row>
    <row r="47" spans="1:9" ht="6.75" customHeight="1" x14ac:dyDescent="0.2"/>
    <row r="48" spans="1:9" s="1" customFormat="1" ht="15" x14ac:dyDescent="0.2">
      <c r="A48" s="7" t="s">
        <v>33</v>
      </c>
      <c r="B48" s="1" t="s">
        <v>103</v>
      </c>
      <c r="G48" s="7"/>
    </row>
    <row r="49" spans="1:9" s="1" customFormat="1" ht="15" x14ac:dyDescent="0.2">
      <c r="A49" s="7"/>
      <c r="B49" s="1" t="s">
        <v>54</v>
      </c>
      <c r="G49" s="7"/>
    </row>
    <row r="50" spans="1:9" s="1" customFormat="1" ht="15" x14ac:dyDescent="0.2">
      <c r="A50" s="7"/>
      <c r="B50" s="1" t="s">
        <v>95</v>
      </c>
      <c r="G50" s="7"/>
    </row>
    <row r="51" spans="1:9" s="1" customFormat="1" ht="15" x14ac:dyDescent="0.2">
      <c r="A51" s="7"/>
      <c r="B51" s="1" t="s">
        <v>55</v>
      </c>
      <c r="G51" s="7"/>
    </row>
    <row r="52" spans="1:9" s="1" customFormat="1" ht="15" x14ac:dyDescent="0.2">
      <c r="A52" s="7"/>
      <c r="B52" s="1" t="s">
        <v>34</v>
      </c>
      <c r="G52" s="7"/>
    </row>
    <row r="53" spans="1:9" s="1" customFormat="1" ht="15" x14ac:dyDescent="0.2">
      <c r="A53" s="7"/>
      <c r="B53" s="1" t="s">
        <v>35</v>
      </c>
      <c r="G53" s="7"/>
    </row>
    <row r="54" spans="1:9" ht="6.75" customHeight="1" x14ac:dyDescent="0.2"/>
    <row r="55" spans="1:9" s="1" customFormat="1" ht="15" x14ac:dyDescent="0.2">
      <c r="A55" s="7"/>
      <c r="B55" s="1" t="s">
        <v>36</v>
      </c>
      <c r="G55" s="7" t="s">
        <v>15</v>
      </c>
      <c r="H55" s="86">
        <f>IF('Input Enrollment'!$E$18+'Input Enrollment'!$E$19=0,0,SUM(('Input Enrollment'!E18*'Input Enrollment'!E19)/16))</f>
        <v>0</v>
      </c>
      <c r="I55" s="86"/>
    </row>
    <row r="56" spans="1:9" s="1" customFormat="1" ht="15" x14ac:dyDescent="0.2">
      <c r="A56" s="7"/>
      <c r="B56" s="1" t="s">
        <v>37</v>
      </c>
      <c r="G56" s="7"/>
    </row>
    <row r="57" spans="1:9" s="1" customFormat="1" ht="15" x14ac:dyDescent="0.2">
      <c r="A57" s="7"/>
      <c r="B57" s="1" t="s">
        <v>38</v>
      </c>
      <c r="G57" s="7"/>
    </row>
  </sheetData>
  <sheetProtection password="CDD6" sheet="1" objects="1" scenarios="1"/>
  <mergeCells count="16">
    <mergeCell ref="A3:K3"/>
    <mergeCell ref="A5:K5"/>
    <mergeCell ref="H37:I37"/>
    <mergeCell ref="H39:I39"/>
    <mergeCell ref="H10:I10"/>
    <mergeCell ref="H13:I13"/>
    <mergeCell ref="H16:I16"/>
    <mergeCell ref="H31:I31"/>
    <mergeCell ref="H25:I25"/>
    <mergeCell ref="H26:I26"/>
    <mergeCell ref="H41:I41"/>
    <mergeCell ref="H43:I43"/>
    <mergeCell ref="H55:I55"/>
    <mergeCell ref="H18:I18"/>
    <mergeCell ref="H20:I20"/>
    <mergeCell ref="H22:I22"/>
  </mergeCells>
  <phoneticPr fontId="0" type="noConversion"/>
  <pageMargins left="0.5" right="0.5" top="0.63" bottom="1" header="0.33" footer="0.5"/>
  <pageSetup scale="93" orientation="portrait" r:id="rId1"/>
  <headerFooter alignWithMargins="0">
    <oddFooter>&amp;L&amp;F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"/>
  <sheetViews>
    <sheetView workbookViewId="0"/>
  </sheetViews>
  <sheetFormatPr defaultRowHeight="12.75" x14ac:dyDescent="0.2"/>
  <cols>
    <col min="1" max="1" width="4.5703125" customWidth="1"/>
    <col min="2" max="3" width="6.85546875" customWidth="1"/>
    <col min="4" max="4" width="3.140625" customWidth="1"/>
    <col min="5" max="5" width="4.28515625" customWidth="1"/>
    <col min="6" max="6" width="5.42578125" customWidth="1"/>
    <col min="7" max="7" width="7.7109375" customWidth="1"/>
    <col min="8" max="8" width="5.140625" customWidth="1"/>
    <col min="9" max="9" width="7" customWidth="1"/>
    <col min="10" max="10" width="5.28515625" customWidth="1"/>
    <col min="11" max="11" width="7" customWidth="1"/>
    <col min="12" max="12" width="4.140625" customWidth="1"/>
    <col min="13" max="13" width="6.7109375" customWidth="1"/>
    <col min="14" max="14" width="5.42578125" customWidth="1"/>
    <col min="15" max="15" width="7" customWidth="1"/>
    <col min="16" max="16" width="5.140625" customWidth="1"/>
    <col min="17" max="17" width="4.85546875" customWidth="1"/>
    <col min="18" max="18" width="5.85546875" customWidth="1"/>
    <col min="19" max="19" width="7.42578125" customWidth="1"/>
    <col min="20" max="20" width="4" customWidth="1"/>
    <col min="21" max="21" width="6.42578125" customWidth="1"/>
    <col min="22" max="22" width="5.85546875" customWidth="1"/>
    <col min="23" max="23" width="6.7109375" customWidth="1"/>
    <col min="24" max="24" width="4.140625" customWidth="1"/>
    <col min="25" max="25" width="7.140625" customWidth="1"/>
  </cols>
  <sheetData>
    <row r="1" spans="1:28" x14ac:dyDescent="0.2">
      <c r="A1" s="51" t="s">
        <v>68</v>
      </c>
      <c r="B1" s="51"/>
      <c r="C1" s="51"/>
      <c r="D1" s="51"/>
      <c r="E1" s="51" t="s">
        <v>70</v>
      </c>
      <c r="F1" s="51"/>
      <c r="G1" s="51"/>
      <c r="H1" s="51"/>
      <c r="I1" s="51" t="s">
        <v>72</v>
      </c>
      <c r="J1" s="51"/>
      <c r="K1" s="51"/>
      <c r="L1" s="51"/>
      <c r="M1" s="51" t="s">
        <v>74</v>
      </c>
      <c r="N1" s="51"/>
      <c r="O1" s="51"/>
      <c r="P1" s="51"/>
      <c r="Q1" s="51" t="s">
        <v>18</v>
      </c>
      <c r="R1" s="51"/>
      <c r="S1" s="51"/>
      <c r="T1" s="51"/>
      <c r="U1" s="51" t="s">
        <v>73</v>
      </c>
      <c r="V1" s="51"/>
      <c r="W1" s="51"/>
      <c r="X1" s="51"/>
      <c r="Y1" s="51" t="s">
        <v>77</v>
      </c>
      <c r="Z1" s="51"/>
      <c r="AA1" s="51"/>
      <c r="AB1" s="51"/>
    </row>
    <row r="2" spans="1:28" x14ac:dyDescent="0.2">
      <c r="A2" s="53" t="s">
        <v>69</v>
      </c>
      <c r="B2" s="53" t="s">
        <v>71</v>
      </c>
      <c r="C2" s="53" t="s">
        <v>80</v>
      </c>
      <c r="D2" s="51"/>
      <c r="E2" s="53" t="s">
        <v>69</v>
      </c>
      <c r="F2" s="53" t="s">
        <v>71</v>
      </c>
      <c r="G2" s="53" t="s">
        <v>80</v>
      </c>
      <c r="H2" s="51"/>
      <c r="I2" s="53" t="s">
        <v>69</v>
      </c>
      <c r="J2" s="53" t="s">
        <v>71</v>
      </c>
      <c r="K2" s="53" t="s">
        <v>80</v>
      </c>
      <c r="L2" s="51"/>
      <c r="M2" s="53" t="s">
        <v>69</v>
      </c>
      <c r="N2" s="53" t="s">
        <v>71</v>
      </c>
      <c r="O2" s="53" t="s">
        <v>80</v>
      </c>
      <c r="P2" s="53"/>
      <c r="Q2" s="53" t="s">
        <v>69</v>
      </c>
      <c r="R2" s="53" t="s">
        <v>71</v>
      </c>
      <c r="S2" s="53" t="s">
        <v>80</v>
      </c>
      <c r="T2" s="51"/>
      <c r="U2" s="53" t="s">
        <v>69</v>
      </c>
      <c r="V2" s="53" t="s">
        <v>71</v>
      </c>
      <c r="W2" s="53" t="s">
        <v>80</v>
      </c>
      <c r="X2" s="51"/>
      <c r="Y2" s="53" t="s">
        <v>78</v>
      </c>
      <c r="Z2" s="53" t="s">
        <v>79</v>
      </c>
      <c r="AA2" s="53" t="s">
        <v>80</v>
      </c>
      <c r="AB2" s="51"/>
    </row>
    <row r="3" spans="1:28" x14ac:dyDescent="0.2">
      <c r="A3" s="54">
        <v>0</v>
      </c>
      <c r="B3" s="54">
        <v>0</v>
      </c>
      <c r="C3" s="54">
        <v>0</v>
      </c>
      <c r="D3" s="51"/>
      <c r="E3" s="54">
        <v>0</v>
      </c>
      <c r="F3" s="54">
        <v>0</v>
      </c>
      <c r="G3" s="54">
        <v>0</v>
      </c>
      <c r="H3" s="51"/>
      <c r="I3" s="54">
        <v>0</v>
      </c>
      <c r="J3" s="54">
        <v>0</v>
      </c>
      <c r="K3" s="54">
        <v>0</v>
      </c>
      <c r="L3" s="51"/>
      <c r="M3" s="54">
        <v>0</v>
      </c>
      <c r="N3" s="54">
        <v>0</v>
      </c>
      <c r="O3" s="54">
        <v>0</v>
      </c>
      <c r="P3" s="53"/>
      <c r="Q3" s="54">
        <v>0</v>
      </c>
      <c r="R3" s="54">
        <v>0</v>
      </c>
      <c r="S3" s="54">
        <v>0</v>
      </c>
      <c r="T3" s="51"/>
      <c r="U3" s="54">
        <v>0</v>
      </c>
      <c r="V3" s="54">
        <v>0</v>
      </c>
      <c r="W3" s="54">
        <v>0</v>
      </c>
      <c r="X3" s="51"/>
      <c r="Y3" s="54">
        <v>8</v>
      </c>
      <c r="Z3" s="54">
        <v>16</v>
      </c>
      <c r="AA3" s="54">
        <v>0</v>
      </c>
      <c r="AB3" s="51"/>
    </row>
    <row r="4" spans="1:28" x14ac:dyDescent="0.2">
      <c r="A4" s="51">
        <v>1</v>
      </c>
      <c r="B4" s="51">
        <v>0</v>
      </c>
      <c r="C4" s="51">
        <v>0</v>
      </c>
      <c r="D4" s="51"/>
      <c r="E4" s="51">
        <v>1</v>
      </c>
      <c r="F4" s="51">
        <v>12</v>
      </c>
      <c r="G4" s="51">
        <v>1</v>
      </c>
      <c r="H4" s="51"/>
      <c r="I4" s="51">
        <v>1</v>
      </c>
      <c r="J4" s="51">
        <v>12</v>
      </c>
      <c r="K4" s="51">
        <v>1</v>
      </c>
      <c r="L4" s="51"/>
      <c r="M4" s="51">
        <v>1</v>
      </c>
      <c r="N4" s="51">
        <v>12</v>
      </c>
      <c r="O4" s="51">
        <v>1</v>
      </c>
      <c r="P4" s="51"/>
      <c r="Q4" s="51">
        <v>1</v>
      </c>
      <c r="R4" s="51">
        <v>12</v>
      </c>
      <c r="S4" s="51">
        <v>0</v>
      </c>
      <c r="T4" s="51"/>
      <c r="U4" s="51">
        <v>1</v>
      </c>
      <c r="V4" s="51">
        <v>14.5</v>
      </c>
      <c r="W4" s="51">
        <v>0.25</v>
      </c>
      <c r="X4" s="51"/>
      <c r="Y4" s="51">
        <v>9</v>
      </c>
      <c r="Z4" s="51">
        <v>14</v>
      </c>
      <c r="AA4" s="51">
        <v>0</v>
      </c>
      <c r="AB4" s="51"/>
    </row>
    <row r="5" spans="1:28" x14ac:dyDescent="0.2">
      <c r="A5" s="51">
        <v>8</v>
      </c>
      <c r="B5" s="51">
        <v>40</v>
      </c>
      <c r="C5" s="51">
        <v>0.5</v>
      </c>
      <c r="D5" s="51"/>
      <c r="E5" s="51">
        <v>16.600000000000001</v>
      </c>
      <c r="F5" s="51">
        <v>12</v>
      </c>
      <c r="G5" s="51">
        <v>1.4</v>
      </c>
      <c r="H5" s="51"/>
      <c r="I5" s="51">
        <v>16.600000000000001</v>
      </c>
      <c r="J5" s="51">
        <v>12</v>
      </c>
      <c r="K5" s="51">
        <v>1.4</v>
      </c>
      <c r="L5" s="51"/>
      <c r="M5" s="51">
        <v>17</v>
      </c>
      <c r="N5" s="51">
        <v>12</v>
      </c>
      <c r="O5" s="51">
        <v>1.4</v>
      </c>
      <c r="P5" s="51"/>
      <c r="Q5" s="51">
        <v>100</v>
      </c>
      <c r="R5" s="51">
        <v>12</v>
      </c>
      <c r="S5" s="51">
        <v>9</v>
      </c>
      <c r="T5" s="51"/>
      <c r="U5" s="51">
        <v>4</v>
      </c>
      <c r="V5" s="51">
        <v>14.5</v>
      </c>
      <c r="W5" s="51">
        <v>0.5</v>
      </c>
      <c r="X5" s="51"/>
      <c r="Y5" s="51">
        <v>12</v>
      </c>
      <c r="Z5" s="51">
        <v>0</v>
      </c>
      <c r="AA5" s="51">
        <v>8</v>
      </c>
      <c r="AB5" s="51"/>
    </row>
    <row r="6" spans="1:28" x14ac:dyDescent="0.2">
      <c r="A6" s="51">
        <v>16</v>
      </c>
      <c r="B6" s="51">
        <v>40</v>
      </c>
      <c r="C6" s="51">
        <v>0.6</v>
      </c>
      <c r="D6" s="51"/>
      <c r="E6" s="51">
        <v>33.6</v>
      </c>
      <c r="F6" s="51">
        <v>13</v>
      </c>
      <c r="G6" s="51">
        <v>2.8</v>
      </c>
      <c r="H6" s="51"/>
      <c r="I6" s="51">
        <v>33.6</v>
      </c>
      <c r="J6" s="51">
        <v>13</v>
      </c>
      <c r="K6" s="51">
        <v>2.8</v>
      </c>
      <c r="L6" s="51"/>
      <c r="M6" s="51">
        <v>34</v>
      </c>
      <c r="N6" s="51">
        <v>13</v>
      </c>
      <c r="O6" s="51">
        <v>2.8</v>
      </c>
      <c r="P6" s="51"/>
      <c r="Q6" s="51">
        <v>200</v>
      </c>
      <c r="R6" s="51">
        <v>13.5</v>
      </c>
      <c r="S6" s="51">
        <v>17</v>
      </c>
      <c r="T6" s="51"/>
      <c r="U6" s="51">
        <v>8</v>
      </c>
      <c r="V6" s="51">
        <v>14.5</v>
      </c>
      <c r="W6" s="51">
        <v>0.75</v>
      </c>
      <c r="X6" s="51"/>
      <c r="Y6" s="51"/>
      <c r="Z6" s="51"/>
      <c r="AA6" s="51"/>
      <c r="AB6" s="51"/>
    </row>
    <row r="7" spans="1:28" x14ac:dyDescent="0.2">
      <c r="A7" s="51">
        <v>21</v>
      </c>
      <c r="B7" s="51">
        <v>40</v>
      </c>
      <c r="C7" s="51">
        <v>0.75</v>
      </c>
      <c r="D7" s="51"/>
      <c r="E7" s="51">
        <v>51.7</v>
      </c>
      <c r="F7" s="51">
        <v>15</v>
      </c>
      <c r="G7" s="51">
        <v>4</v>
      </c>
      <c r="H7" s="51"/>
      <c r="I7" s="51">
        <v>51.7</v>
      </c>
      <c r="J7" s="51">
        <v>15</v>
      </c>
      <c r="K7" s="51">
        <v>4</v>
      </c>
      <c r="L7" s="51"/>
      <c r="M7" s="51">
        <v>52</v>
      </c>
      <c r="N7" s="51">
        <v>15</v>
      </c>
      <c r="O7" s="51">
        <v>4</v>
      </c>
      <c r="P7" s="51"/>
      <c r="Q7" s="51">
        <v>300</v>
      </c>
      <c r="R7" s="51">
        <v>14.5</v>
      </c>
      <c r="S7" s="51">
        <v>22</v>
      </c>
      <c r="T7" s="51"/>
      <c r="U7" s="51">
        <v>12</v>
      </c>
      <c r="V7" s="51">
        <v>14.5</v>
      </c>
      <c r="W7" s="51">
        <v>1</v>
      </c>
      <c r="X7" s="51"/>
      <c r="Y7" s="51"/>
      <c r="Z7" s="51"/>
      <c r="AA7" s="51"/>
      <c r="AB7" s="51"/>
    </row>
    <row r="8" spans="1:28" x14ac:dyDescent="0.2">
      <c r="A8" s="51">
        <v>26</v>
      </c>
      <c r="B8" s="51">
        <v>40</v>
      </c>
      <c r="C8" s="51">
        <v>0.85</v>
      </c>
      <c r="D8" s="51"/>
      <c r="E8" s="51">
        <v>71.099999999999994</v>
      </c>
      <c r="F8" s="51">
        <v>16</v>
      </c>
      <c r="G8" s="51">
        <v>4.7</v>
      </c>
      <c r="H8" s="51"/>
      <c r="I8" s="51">
        <v>71.099999999999994</v>
      </c>
      <c r="J8" s="51">
        <v>16</v>
      </c>
      <c r="K8" s="51">
        <v>4.7</v>
      </c>
      <c r="L8" s="51"/>
      <c r="M8" s="51">
        <v>71</v>
      </c>
      <c r="N8" s="51">
        <v>16</v>
      </c>
      <c r="O8" s="51">
        <v>4.7</v>
      </c>
      <c r="P8" s="51"/>
      <c r="Q8" s="51">
        <v>400</v>
      </c>
      <c r="R8" s="51">
        <v>16</v>
      </c>
      <c r="S8" s="51">
        <v>28</v>
      </c>
      <c r="T8" s="51"/>
      <c r="U8" s="51">
        <v>14</v>
      </c>
      <c r="V8" s="51">
        <v>14.5</v>
      </c>
      <c r="W8" s="51">
        <v>1</v>
      </c>
      <c r="X8" s="51"/>
      <c r="Y8" s="51"/>
      <c r="Z8" s="51"/>
      <c r="AA8" s="51"/>
      <c r="AB8" s="51"/>
    </row>
    <row r="9" spans="1:28" x14ac:dyDescent="0.2">
      <c r="A9" s="51">
        <v>31</v>
      </c>
      <c r="B9" s="51">
        <v>40</v>
      </c>
      <c r="C9" s="51">
        <v>1</v>
      </c>
      <c r="D9" s="51"/>
      <c r="E9" s="51">
        <v>110</v>
      </c>
      <c r="F9" s="51">
        <v>19</v>
      </c>
      <c r="G9" s="51">
        <v>6.8</v>
      </c>
      <c r="H9" s="51"/>
      <c r="I9" s="51">
        <v>110</v>
      </c>
      <c r="J9" s="51">
        <v>19</v>
      </c>
      <c r="K9" s="51">
        <v>6.8</v>
      </c>
      <c r="L9" s="51"/>
      <c r="M9" s="51">
        <v>110</v>
      </c>
      <c r="N9" s="51">
        <v>19</v>
      </c>
      <c r="O9" s="51">
        <v>6.8</v>
      </c>
      <c r="P9" s="51"/>
      <c r="Q9" s="51">
        <v>750</v>
      </c>
      <c r="R9" s="51">
        <v>18.5</v>
      </c>
      <c r="S9" s="51">
        <v>47</v>
      </c>
      <c r="T9" s="51"/>
      <c r="U9" s="51"/>
      <c r="V9" s="51"/>
      <c r="W9" s="51"/>
      <c r="X9" s="51"/>
      <c r="Y9" s="51"/>
      <c r="Z9" s="51"/>
      <c r="AA9" s="51"/>
      <c r="AB9" s="51"/>
    </row>
    <row r="10" spans="1:28" x14ac:dyDescent="0.2">
      <c r="A10" s="51">
        <v>41</v>
      </c>
      <c r="B10" s="51">
        <v>40</v>
      </c>
      <c r="C10" s="51">
        <v>1</v>
      </c>
      <c r="D10" s="51"/>
      <c r="E10" s="51">
        <v>160</v>
      </c>
      <c r="F10" s="51">
        <v>20</v>
      </c>
      <c r="G10" s="51">
        <v>8.4</v>
      </c>
      <c r="H10" s="51"/>
      <c r="I10" s="51">
        <v>160</v>
      </c>
      <c r="J10" s="51">
        <v>20</v>
      </c>
      <c r="K10" s="51">
        <v>8.4</v>
      </c>
      <c r="L10" s="51"/>
      <c r="M10" s="51">
        <v>160</v>
      </c>
      <c r="N10" s="51">
        <v>20</v>
      </c>
      <c r="O10" s="51">
        <v>8.4</v>
      </c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</row>
    <row r="11" spans="1:28" x14ac:dyDescent="0.2">
      <c r="A11" s="51"/>
      <c r="B11" s="51"/>
      <c r="C11" s="51"/>
      <c r="D11" s="51"/>
      <c r="E11" s="51">
        <v>300</v>
      </c>
      <c r="F11" s="51">
        <v>20</v>
      </c>
      <c r="G11" s="51">
        <v>15</v>
      </c>
      <c r="H11" s="51"/>
      <c r="I11" s="51">
        <v>300</v>
      </c>
      <c r="J11" s="51">
        <v>23</v>
      </c>
      <c r="K11" s="51">
        <v>15</v>
      </c>
      <c r="L11" s="51"/>
      <c r="M11" s="51">
        <v>300</v>
      </c>
      <c r="N11" s="51">
        <v>23</v>
      </c>
      <c r="O11" s="51">
        <v>15</v>
      </c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</row>
    <row r="12" spans="1:28" x14ac:dyDescent="0.2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</row>
  </sheetData>
  <sheetProtection password="CDD6" sheet="1" objects="1" scenarios="1"/>
  <phoneticPr fontId="0" type="noConversion"/>
  <pageMargins left="0.75" right="0.75" top="1" bottom="1" header="0.5" footer="0.5"/>
  <pageSetup orientation="portrait" r:id="rId1"/>
  <headerFooter alignWithMargins="0">
    <oddFooter>&amp;L&amp;F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Input Enrollment</vt:lpstr>
      <vt:lpstr>Current Year</vt:lpstr>
      <vt:lpstr>CY Without</vt:lpstr>
      <vt:lpstr>Best 28</vt:lpstr>
      <vt:lpstr>Best 28 Without</vt:lpstr>
      <vt:lpstr>Exceptional Child Calc</vt:lpstr>
      <vt:lpstr>criteria</vt:lpstr>
      <vt:lpstr>criteria!Criteria</vt:lpstr>
      <vt:lpstr>criteria!Extract</vt:lpstr>
      <vt:lpstr>'Best 28'!Print_Area</vt:lpstr>
      <vt:lpstr>'Best 28 Without'!Print_Area</vt:lpstr>
      <vt:lpstr>'Current Year'!Print_Area</vt:lpstr>
      <vt:lpstr>'CY Without'!Print_Area</vt:lpstr>
    </vt:vector>
  </TitlesOfParts>
  <Company>jj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emessenger</dc:creator>
  <cp:lastModifiedBy>Pam Brewer</cp:lastModifiedBy>
  <cp:lastPrinted>2008-07-21T20:41:02Z</cp:lastPrinted>
  <dcterms:created xsi:type="dcterms:W3CDTF">2003-05-07T20:27:16Z</dcterms:created>
  <dcterms:modified xsi:type="dcterms:W3CDTF">2019-03-22T14:17:24Z</dcterms:modified>
</cp:coreProperties>
</file>