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C:\Users\dreich\Desktop\SU Estimating Templates\"/>
    </mc:Choice>
  </mc:AlternateContent>
  <xr:revisionPtr revIDLastSave="0" documentId="13_ncr:1_{3053B1F8-8EF6-453A-B654-E1DF75116B86}" xr6:coauthVersionLast="36" xr6:coauthVersionMax="36" xr10:uidLastSave="{00000000-0000-0000-0000-000000000000}"/>
  <bookViews>
    <workbookView xWindow="0" yWindow="1470" windowWidth="9600" windowHeight="4770" xr2:uid="{00000000-000D-0000-FFFF-FFFF00000000}"/>
  </bookViews>
  <sheets>
    <sheet name="Input Enrollment" sheetId="6" r:id="rId1"/>
    <sheet name="Attendance % Assistance" sheetId="11" r:id="rId2"/>
    <sheet name="Midterm With" sheetId="2" r:id="rId3"/>
    <sheet name="Midterm Without" sheetId="9" r:id="rId4"/>
    <sheet name="Best 28 With" sheetId="8" r:id="rId5"/>
    <sheet name="Best 28 Without" sheetId="10" r:id="rId6"/>
    <sheet name="Exceptional Child Calc" sheetId="1" r:id="rId7"/>
    <sheet name="criteria" sheetId="7" state="hidden" r:id="rId8"/>
  </sheets>
  <definedNames>
    <definedName name="_xlnm._FilterDatabase" localSheetId="7" hidden="1">criteria!$A$16:$B$25</definedName>
    <definedName name="_xlnm.Criteria" localSheetId="7">criteria!$A$13:$A$14</definedName>
    <definedName name="_xlnm.Extract" localSheetId="7">criteria!$E$16:$F$16</definedName>
    <definedName name="_xlnm.Print_Area" localSheetId="4">'Best 28 With'!$A$1:$P$36</definedName>
    <definedName name="_xlnm.Print_Area" localSheetId="5">'Best 28 Without'!$A$1:$P$37</definedName>
    <definedName name="_xlnm.Print_Area" localSheetId="0">'Input Enrollment'!$A$1:$H$42</definedName>
    <definedName name="_xlnm.Print_Area" localSheetId="2">'Midterm With'!$A$1:$P$36</definedName>
    <definedName name="_xlnm.Print_Area" localSheetId="3">'Midterm Without'!$A$1:$P$37</definedName>
  </definedNames>
  <calcPr calcId="191029"/>
</workbook>
</file>

<file path=xl/calcChain.xml><?xml version="1.0" encoding="utf-8"?>
<calcChain xmlns="http://schemas.openxmlformats.org/spreadsheetml/2006/main">
  <c r="G19" i="6" l="1"/>
  <c r="G17" i="6"/>
  <c r="G16" i="6"/>
  <c r="G13" i="6"/>
  <c r="E19" i="6"/>
  <c r="E17" i="6"/>
  <c r="E16" i="6"/>
  <c r="E13" i="6"/>
  <c r="G18" i="6" l="1"/>
  <c r="H10" i="1"/>
  <c r="H13" i="1"/>
  <c r="H16" i="1"/>
  <c r="E18" i="6"/>
  <c r="J34" i="8"/>
  <c r="M34" i="8" s="1"/>
  <c r="J7" i="8"/>
  <c r="M7" i="8" s="1"/>
  <c r="Q7" i="8" s="1"/>
  <c r="O7" i="8" s="1"/>
  <c r="P7" i="8" s="1"/>
  <c r="B34" i="8"/>
  <c r="J32" i="8"/>
  <c r="Q32" i="8" s="1"/>
  <c r="F7" i="8"/>
  <c r="B32" i="8"/>
  <c r="H31" i="1"/>
  <c r="H55" i="1"/>
  <c r="J22" i="10" s="1"/>
  <c r="J18" i="10"/>
  <c r="M18" i="10" s="1"/>
  <c r="Q18" i="10" s="1"/>
  <c r="J32" i="10"/>
  <c r="J34" i="10"/>
  <c r="J7" i="10"/>
  <c r="M7" i="10" s="1"/>
  <c r="Q7" i="10" s="1"/>
  <c r="O7" i="10" s="1"/>
  <c r="P7" i="10" s="1"/>
  <c r="B34" i="10"/>
  <c r="F7" i="10"/>
  <c r="J26" i="10"/>
  <c r="B32" i="10"/>
  <c r="H37" i="1"/>
  <c r="H39" i="1" s="1"/>
  <c r="H41" i="1" s="1"/>
  <c r="H43" i="1" s="1"/>
  <c r="J34" i="2"/>
  <c r="J7" i="2"/>
  <c r="M7" i="2" s="1"/>
  <c r="Q7" i="2" s="1"/>
  <c r="O7" i="2" s="1"/>
  <c r="P7" i="2" s="1"/>
  <c r="J32" i="2"/>
  <c r="B34" i="2"/>
  <c r="F7" i="2"/>
  <c r="B32" i="2"/>
  <c r="J18" i="9"/>
  <c r="M18" i="9" s="1"/>
  <c r="Q18" i="9" s="1"/>
  <c r="J6" i="9"/>
  <c r="M6" i="9" s="1"/>
  <c r="Q6" i="9" s="1"/>
  <c r="O6" i="9" s="1"/>
  <c r="P6" i="9" s="1"/>
  <c r="J26" i="9"/>
  <c r="J32" i="9"/>
  <c r="J34" i="9"/>
  <c r="B34" i="9"/>
  <c r="F18" i="9"/>
  <c r="F6" i="9"/>
  <c r="B32" i="9"/>
  <c r="K13" i="1" l="1"/>
  <c r="B26" i="1" s="1"/>
  <c r="J18" i="2"/>
  <c r="M18" i="2" s="1"/>
  <c r="Q18" i="2" s="1"/>
  <c r="J18" i="8"/>
  <c r="M18" i="8" s="1"/>
  <c r="Q18" i="8" s="1"/>
  <c r="O18" i="9"/>
  <c r="P18" i="9" s="1"/>
  <c r="Q32" i="2"/>
  <c r="M32" i="2" s="1"/>
  <c r="O32" i="2" s="1"/>
  <c r="Q34" i="8"/>
  <c r="M34" i="2"/>
  <c r="O34" i="2" s="1"/>
  <c r="H18" i="1"/>
  <c r="H20" i="1" s="1"/>
  <c r="H22" i="1" s="1"/>
  <c r="J24" i="8" s="1"/>
  <c r="Q34" i="2"/>
  <c r="Q32" i="9"/>
  <c r="M32" i="9" s="1"/>
  <c r="O32" i="9" s="1"/>
  <c r="Q32" i="10"/>
  <c r="M32" i="10" s="1"/>
  <c r="O32" i="10" s="1"/>
  <c r="Q34" i="9"/>
  <c r="M34" i="9"/>
  <c r="O34" i="9" s="1"/>
  <c r="Q34" i="10"/>
  <c r="M32" i="8"/>
  <c r="O32" i="8" s="1"/>
  <c r="M34" i="10"/>
  <c r="O34" i="10" s="1"/>
  <c r="H18" i="2"/>
  <c r="J26" i="8"/>
  <c r="J26" i="2"/>
  <c r="K10" i="1"/>
  <c r="B25" i="1" s="1"/>
  <c r="J22" i="2"/>
  <c r="J22" i="8"/>
  <c r="J22" i="9"/>
  <c r="O18" i="10"/>
  <c r="P18" i="10" s="1"/>
  <c r="F18" i="10"/>
  <c r="O34" i="8"/>
  <c r="F18" i="2" l="1"/>
  <c r="H18" i="8"/>
  <c r="F18" i="8"/>
  <c r="O18" i="2"/>
  <c r="P18" i="2" s="1"/>
  <c r="O18" i="8"/>
  <c r="P18" i="8" s="1"/>
  <c r="J24" i="10"/>
  <c r="J29" i="10" s="1"/>
  <c r="M29" i="10" s="1"/>
  <c r="Q29" i="10" s="1"/>
  <c r="D25" i="1"/>
  <c r="H25" i="1" s="1"/>
  <c r="J24" i="2"/>
  <c r="J29" i="2" s="1"/>
  <c r="D26" i="1"/>
  <c r="J24" i="9"/>
  <c r="J29" i="9" s="1"/>
  <c r="M29" i="9" s="1"/>
  <c r="Q29" i="9" s="1"/>
  <c r="J29" i="8"/>
  <c r="M29" i="8" s="1"/>
  <c r="Q29" i="8" s="1"/>
  <c r="O29" i="8" s="1"/>
  <c r="P29" i="8" s="1"/>
  <c r="H26" i="1" l="1"/>
  <c r="M13" i="10" s="1"/>
  <c r="O29" i="10"/>
  <c r="P29" i="10" s="1"/>
  <c r="O29" i="9"/>
  <c r="P29" i="9" s="1"/>
  <c r="M29" i="2"/>
  <c r="Q29" i="2" s="1"/>
  <c r="O29" i="2" s="1"/>
  <c r="P29" i="2" s="1"/>
  <c r="J11" i="8" l="1"/>
  <c r="H11" i="8" s="1"/>
  <c r="J12" i="9"/>
  <c r="J13" i="10"/>
  <c r="Q13" i="10" s="1"/>
  <c r="M11" i="2"/>
  <c r="J13" i="8"/>
  <c r="J13" i="2"/>
  <c r="M12" i="9"/>
  <c r="J16" i="2"/>
  <c r="M11" i="8"/>
  <c r="J16" i="8"/>
  <c r="M13" i="2"/>
  <c r="M10" i="9"/>
  <c r="M11" i="10"/>
  <c r="J16" i="10"/>
  <c r="M16" i="10" s="1"/>
  <c r="J10" i="9"/>
  <c r="M13" i="8"/>
  <c r="J11" i="2"/>
  <c r="J16" i="9"/>
  <c r="J11" i="10"/>
  <c r="Q12" i="9" l="1"/>
  <c r="Q11" i="10"/>
  <c r="P14" i="10" s="1"/>
  <c r="O14" i="10" s="1"/>
  <c r="Q10" i="9"/>
  <c r="Q11" i="2"/>
  <c r="F11" i="8"/>
  <c r="M16" i="8"/>
  <c r="Q11" i="8"/>
  <c r="F13" i="2"/>
  <c r="H13" i="2"/>
  <c r="F13" i="8"/>
  <c r="H13" i="8"/>
  <c r="Q13" i="2"/>
  <c r="H13" i="10"/>
  <c r="F13" i="10"/>
  <c r="Q13" i="8"/>
  <c r="H12" i="9"/>
  <c r="F12" i="9"/>
  <c r="H10" i="9"/>
  <c r="F10" i="9"/>
  <c r="M16" i="2"/>
  <c r="Q16" i="2" s="1"/>
  <c r="O16" i="2" s="1"/>
  <c r="P16" i="2" s="1"/>
  <c r="H16" i="2"/>
  <c r="F16" i="2"/>
  <c r="F16" i="10"/>
  <c r="H16" i="10"/>
  <c r="F11" i="10"/>
  <c r="H11" i="10"/>
  <c r="H11" i="2"/>
  <c r="F11" i="2"/>
  <c r="M16" i="9"/>
  <c r="Q16" i="9" s="1"/>
  <c r="O16" i="9" s="1"/>
  <c r="P16" i="9" s="1"/>
  <c r="H16" i="9"/>
  <c r="F16" i="9"/>
  <c r="Q16" i="10"/>
  <c r="O16" i="10" s="1"/>
  <c r="P16" i="10" s="1"/>
  <c r="H16" i="8"/>
  <c r="F16" i="8"/>
  <c r="Q16" i="8"/>
  <c r="O16" i="8" s="1"/>
  <c r="P16" i="8" s="1"/>
  <c r="P13" i="9" l="1"/>
  <c r="O13" i="9" s="1"/>
  <c r="O13" i="10"/>
  <c r="P13" i="10" s="1"/>
  <c r="O11" i="10"/>
  <c r="P11" i="10" s="1"/>
  <c r="O10" i="9"/>
  <c r="P10" i="9" s="1"/>
  <c r="P15" i="2"/>
  <c r="O15" i="2" s="1"/>
  <c r="O12" i="9"/>
  <c r="P12" i="9" s="1"/>
  <c r="P14" i="8"/>
  <c r="O14" i="8" s="1"/>
  <c r="O11" i="2"/>
  <c r="P11" i="2" s="1"/>
  <c r="O13" i="2"/>
  <c r="P13" i="2" s="1"/>
  <c r="O13" i="8"/>
  <c r="P13" i="8" s="1"/>
  <c r="O11" i="8"/>
  <c r="O36" i="10" l="1"/>
  <c r="N36" i="9"/>
  <c r="N36" i="2"/>
  <c r="P11" i="8"/>
  <c r="O36" i="8"/>
  <c r="M37" i="10" l="1"/>
  <c r="M37" i="9"/>
</calcChain>
</file>

<file path=xl/sharedStrings.xml><?xml version="1.0" encoding="utf-8"?>
<sst xmlns="http://schemas.openxmlformats.org/spreadsheetml/2006/main" count="436" uniqueCount="130">
  <si>
    <t>ESTIMATING EXCEPTIONAL CHILD UNIT APPROVALS</t>
  </si>
  <si>
    <t>ELEMENTARY</t>
  </si>
  <si>
    <t>1.</t>
  </si>
  <si>
    <t>2.</t>
  </si>
  <si>
    <t>C</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</si>
  <si>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</si>
  <si>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</si>
  <si>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</si>
  <si>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</si>
  <si>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</si>
  <si>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</si>
  <si>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</si>
  <si>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</si>
  <si>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</si>
  <si>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</si>
  <si>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</si>
  <si>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</si>
  <si>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</si>
  <si>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</si>
  <si>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</si>
  <si>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</si>
  <si>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</si>
  <si>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</si>
  <si>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</si>
  <si>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</si>
  <si>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</si>
  <si>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</si>
  <si>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</si>
  <si>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</si>
  <si>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</si>
  <si>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</si>
  <si>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</si>
  <si>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</si>
  <si>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</si>
  <si>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</si>
  <si>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</si>
  <si>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</si>
  <si>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</si>
  <si>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</si>
  <si>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ADMINISTRATIVE UNITS</t>
  </si>
  <si>
    <t>Kindergarten Administrative</t>
  </si>
  <si>
    <t>Elementary Administrative</t>
  </si>
  <si>
    <t>Grades 1-3</t>
  </si>
  <si>
    <t>Grades 4-6</t>
  </si>
  <si>
    <t>Grades 1-6</t>
  </si>
  <si>
    <t>Secondary Administrative</t>
  </si>
  <si>
    <t>EXCEPTIONAL CHILD UNITS</t>
  </si>
  <si>
    <t>Preschool Approvals</t>
  </si>
  <si>
    <t>Elementary Approvals</t>
  </si>
  <si>
    <t>Secondary Approvals</t>
  </si>
  <si>
    <t>Total Exceptional A.D.A</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</si>
  <si>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</si>
  <si>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</si>
  <si>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</si>
  <si>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</si>
  <si>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</si>
  <si>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r>
      <t xml:space="preserve">Secondary </t>
    </r>
    <r>
      <rPr>
        <u/>
        <sz val="12"/>
        <rFont val="Arial"/>
        <family val="2"/>
      </rPr>
      <t>exeptional</t>
    </r>
    <r>
      <rPr>
        <sz val="12"/>
        <rFont val="Arial"/>
        <family val="2"/>
      </rPr>
      <t xml:space="preserve"> students eligible for</t>
    </r>
  </si>
  <si>
    <t>Estimated Fall Enrollment</t>
  </si>
  <si>
    <t>Elementary</t>
  </si>
  <si>
    <t>Secondary</t>
  </si>
  <si>
    <t>grades 4-6 Portion</t>
  </si>
  <si>
    <t>X</t>
  </si>
  <si>
    <t>grades 1-3 Portion</t>
  </si>
  <si>
    <t>6.a</t>
  </si>
  <si>
    <t>6.b</t>
  </si>
  <si>
    <t>KINDERGARTEN</t>
  </si>
  <si>
    <t>Low</t>
  </si>
  <si>
    <t>Elementary grades 1-3</t>
  </si>
  <si>
    <t>Unit</t>
  </si>
  <si>
    <t>Elementary grades 4-6</t>
  </si>
  <si>
    <t>Exceptional Education</t>
  </si>
  <si>
    <t>Elementary grades 1-6</t>
  </si>
  <si>
    <t>BEST 28 WEEKS</t>
  </si>
  <si>
    <t>Without Secondary Special Education Approvals</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</si>
  <si>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</si>
  <si>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</si>
  <si>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</si>
  <si>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</si>
  <si>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</si>
  <si>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</si>
  <si>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</si>
  <si>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</si>
  <si>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</si>
  <si>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</si>
  <si>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</si>
  <si>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</si>
  <si>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</si>
  <si>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</si>
  <si>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</si>
  <si>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</si>
  <si>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Second copy for district without Secondary Special Education Approvals</t>
  </si>
  <si>
    <t xml:space="preserve">        student, total the number of hours and</t>
  </si>
  <si>
    <t>less than 300:</t>
  </si>
  <si>
    <t>Charter Schools Only</t>
  </si>
  <si>
    <t>Optional programs you may or may not have</t>
  </si>
  <si>
    <t>BUDGET WORKSHEETS</t>
  </si>
  <si>
    <t>Fall Enrollment, grades K-3</t>
  </si>
  <si>
    <t>Fall Enrollment, grades 4-6</t>
  </si>
  <si>
    <t>Fall enrollment for regular secondary</t>
  </si>
  <si>
    <t>Preschool Student Approvals</t>
  </si>
  <si>
    <t>TOTAL Estimated Support Units (Round to nearest hundredth)</t>
  </si>
  <si>
    <t>ALTERNATIVE SCHOOL UNITS</t>
  </si>
  <si>
    <t>Through Midterm Reporting period</t>
  </si>
  <si>
    <t>*</t>
  </si>
  <si>
    <t>**</t>
  </si>
  <si>
    <t>Estimated ADA for Midterm Period</t>
  </si>
  <si>
    <t>Estimated ADA for Best 28 Weeks</t>
  </si>
  <si>
    <t>Hours and minutes of service per student per week. Example - 8 hrs 40 mins entered as 8.67</t>
  </si>
  <si>
    <t>Alternative School Estimated ADA is based on the following calculation:</t>
  </si>
  <si>
    <t>Summer Alternative School Estimated ADA is based on the following calculation:</t>
  </si>
  <si>
    <t>Aggregated attendance hours ÷ 225</t>
  </si>
  <si>
    <r>
      <t xml:space="preserve">Aggregated attendance hours </t>
    </r>
    <r>
      <rPr>
        <sz val="10"/>
        <rFont val="Calibri"/>
        <family val="2"/>
      </rPr>
      <t>÷</t>
    </r>
    <r>
      <rPr>
        <sz val="10"/>
        <rFont val="Arial"/>
        <family val="2"/>
      </rPr>
      <t xml:space="preserve"> days in session ÷ either 5 or 4 day a week program divisor</t>
    </r>
  </si>
  <si>
    <t>*Alternative School</t>
  </si>
  <si>
    <t>**Summer Alternative School</t>
  </si>
  <si>
    <t>Exceptional Preschool</t>
  </si>
  <si>
    <t>(Use divisor of 5 for 5 day program. Use divisor of 6.25 for 4 day or less program )</t>
  </si>
  <si>
    <t>Number of Preschool Students</t>
  </si>
  <si>
    <t>Exceptional Students Eligible for Tuition Equivalency Allowance</t>
  </si>
  <si>
    <t>INPUT ESTIMATED INFORMATION</t>
  </si>
  <si>
    <t>(estimated midterm %)</t>
  </si>
  <si>
    <t>(estimated B28 wks %)</t>
  </si>
  <si>
    <t>The purpose of this worksheet is to help estimate your 2023-2024 midterm and best 28 weeks support units. Entering information into the highlighted cells on this worksheet will populate the other worksheets in this file.</t>
  </si>
  <si>
    <t>Based on your historical attendance, enter your estimated average student attendance percentage for the 2023-2024 midterm reporting period (1st day of school thru 1st Friday in November).</t>
  </si>
  <si>
    <t>Based on your historical attendance, enter your estimated average student attendance percentage for the 2023-2024 best 28 weeks.</t>
  </si>
  <si>
    <t>See the Attendance % Assistance worksheet for help.</t>
  </si>
  <si>
    <t>Estimating Average Attendance Percentages</t>
  </si>
  <si>
    <t xml:space="preserve">If you do not have historical attendance rates readily available, consider using the guidance/reports below to estimate midterm and best 28 weeks average attendance percentages. </t>
  </si>
  <si>
    <r>
      <rPr>
        <u/>
        <sz val="11"/>
        <rFont val="Arial"/>
        <family val="2"/>
      </rPr>
      <t xml:space="preserve">Estimated midterm % </t>
    </r>
    <r>
      <rPr>
        <sz val="11"/>
        <rFont val="Arial"/>
        <family val="2"/>
      </rPr>
      <t xml:space="preserve">
1 - Pull from the ISEE portal the Attendance Current Year Support Unit Calculation report for the current midterm period.
2 - Add together the ADA Administrative Summary totals for Kindergarten, Elementary, and Secondary. If you have alternative schools, also add in the Adjusted ADA of those schools (do not include any summer amounts). This sum will be your numerator.
3 - Pull from the ISEE portal the Net Enrollment report for the current midterm period.
4 - Add together the All Grades Net Totals. Then, subtract any preschool amounts. This will be your denominator.
5 - Divide numerator by denominator.
</t>
    </r>
    <r>
      <rPr>
        <u/>
        <sz val="11"/>
        <rFont val="Arial"/>
        <family val="2"/>
      </rPr>
      <t>Estimated B28 %</t>
    </r>
    <r>
      <rPr>
        <sz val="11"/>
        <rFont val="Arial"/>
        <family val="2"/>
      </rPr>
      <t xml:space="preserve">
1 - Pull from the ISEE portal the Attendance Current Year Support Unit Calculation for the best 28 weeks for the prior year.
2 - Add together the ADA Administrative Summary totals for Kindergarten, Elementary, and Secondary. If you have alternative schools, also add in the Adjusted ADA of those schools (do not include any summer amounts). This sum will be your numerator.
3 - Pull from the SDE Secure Website the prior year NetEnrollmentAllYear.pdf report (found in the July folder).
4 - Add together the All Grades Net Totals. Then, subtract any preschool amounts. This will be your denominator.
5 - Divide numerator by denominator.</t>
    </r>
  </si>
  <si>
    <t>While support units for 2020-2021, 2021-2022, and 2022-2023 were calculated using Average Daily Attendance (ADA) based on Full-Time Equivalent Enrollment (FTE-E), FTE-E will not be used to calculate support units for the 2023-2024 school year.</t>
  </si>
  <si>
    <t>Support units for the 2023-2024 school year will be calculated using ADA based on Instructional/Seat Time (4.0 and 2.5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</si>
</sst>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6"/>
      <name val="Arial"/>
      <family val="2"/>
    </font>
    <font>
      <sz val="10"/>
      <color indexed="9"/>
      <name val="Arial"/>
      <family val="2"/>
    </font>
    <font>
      <b/>
      <sz val="12"/>
      <color indexed="9"/>
      <name val="Arial"/>
      <family val="2"/>
    </font>
    <font>
      <sz val="10"/>
      <color indexed="22"/>
      <name val="Arial"/>
      <family val="2"/>
    </font>
    <font>
      <sz val="10"/>
      <name val="Arial"/>
      <family val="2"/>
    </font>
    <font>
      <sz val="10"/>
      <name val="Calibri"/>
      <family val="2"/>
    </font>
    <font>
      <u/>
      <sz val="9"/>
      <name val="Arial"/>
      <family val="2"/>
    </font>
    <font>
      <b/>
      <sz val="10"/>
      <name val="Arial"/>
      <family val="2"/>
    </font>
    <font>
      <u/>
      <sz val="11"/>
      <name val="Arial"/>
      <family val="2"/>
    </font>
    <font>
      <b/>
      <sz val="16"/>
      <color rgb="FFC000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1">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6" fillId="0" borderId="0" applyFont="0" applyFill="0" applyBorder="0" applyAlignment="0" applyProtection="0"/>
    <xf numFmtId="0" fontId="5" fillId="0" borderId="0"/>
  </cellStyleXfs>
  <cellXfs count="119">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0" fontId="0" fillId="0" borderId="0" xfId="0" applyBorder="1" applyAlignment="1"/>
    <xf numFmtId="0" fontId="0" fillId="0" borderId="0" xfId="0" applyBorder="1"/>
    <xf numFmtId="49" fontId="1" fillId="0" borderId="0" xfId="0" applyNumberFormat="1" applyFont="1"/>
    <xf numFmtId="0" fontId="1" fillId="0" borderId="0" xfId="0" applyFont="1" applyBorder="1" applyAlignment="1"/>
    <xf numFmtId="0" fontId="1" fillId="0" borderId="0" xfId="0" applyFont="1" applyBorder="1"/>
    <xf numFmtId="0" fontId="5" fillId="0" borderId="0" xfId="0" applyFont="1"/>
    <xf numFmtId="0" fontId="3" fillId="0" borderId="0" xfId="0" applyFont="1"/>
    <xf numFmtId="0" fontId="6" fillId="0" borderId="0" xfId="0" applyFont="1"/>
    <xf numFmtId="0" fontId="0" fillId="0" borderId="1" xfId="0" applyBorder="1" applyAlignment="1">
      <alignment horizontal="center"/>
    </xf>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0" xfId="0" applyNumberFormat="1" applyBorder="1" applyAlignment="1">
      <alignment horizontal="center"/>
    </xf>
    <xf numFmtId="4" fontId="0" fillId="0" borderId="1" xfId="0" applyNumberFormat="1" applyBorder="1" applyAlignment="1">
      <alignment horizontal="center"/>
    </xf>
    <xf numFmtId="0" fontId="8" fillId="0" borderId="0" xfId="0" applyFont="1" applyAlignment="1">
      <alignment horizontal="left" wrapText="1"/>
    </xf>
    <xf numFmtId="0" fontId="2" fillId="0" borderId="0" xfId="0" applyFont="1" applyAlignment="1">
      <alignment horizontal="center" vertical="center"/>
    </xf>
    <xf numFmtId="49" fontId="3" fillId="0" borderId="0" xfId="0" applyNumberFormat="1" applyFont="1" applyAlignment="1">
      <alignment horizontal="center" wrapText="1"/>
    </xf>
    <xf numFmtId="0" fontId="3" fillId="0" borderId="0" xfId="0" applyFont="1" applyBorder="1" applyAlignment="1">
      <alignment horizontal="center"/>
    </xf>
    <xf numFmtId="0" fontId="5" fillId="0" borderId="0" xfId="0" applyFont="1" applyBorder="1" applyAlignment="1">
      <alignment horizontal="center" wrapText="1"/>
    </xf>
    <xf numFmtId="0" fontId="0" fillId="0" borderId="1" xfId="0" applyBorder="1"/>
    <xf numFmtId="4" fontId="0" fillId="0" borderId="0" xfId="0" applyNumberFormat="1" applyAlignment="1">
      <alignment horizontal="center"/>
    </xf>
    <xf numFmtId="0" fontId="13" fillId="0" borderId="0" xfId="0" applyFont="1"/>
    <xf numFmtId="0" fontId="14" fillId="0" borderId="0" xfId="0" applyFont="1" applyAlignment="1">
      <alignment horizontal="center" vertical="center"/>
    </xf>
    <xf numFmtId="0" fontId="13" fillId="0" borderId="0" xfId="0" applyFont="1" applyAlignment="1">
      <alignment horizontal="center"/>
    </xf>
    <xf numFmtId="0" fontId="13" fillId="0" borderId="0" xfId="0" applyFont="1" applyAlignment="1">
      <alignment horizontal="right"/>
    </xf>
    <xf numFmtId="0" fontId="10" fillId="2" borderId="0" xfId="0" applyFont="1" applyFill="1" applyAlignment="1" applyProtection="1">
      <alignment horizontal="center"/>
    </xf>
    <xf numFmtId="4" fontId="0" fillId="0" borderId="4" xfId="0" applyNumberFormat="1" applyBorder="1" applyAlignment="1">
      <alignment horizontal="center" vertical="center"/>
    </xf>
    <xf numFmtId="3" fontId="9" fillId="4" borderId="2" xfId="0" applyNumberFormat="1" applyFont="1" applyFill="1" applyBorder="1" applyAlignment="1" applyProtection="1">
      <alignment horizontal="center"/>
      <protection locked="0"/>
    </xf>
    <xf numFmtId="3" fontId="9" fillId="4" borderId="3" xfId="0" applyNumberFormat="1" applyFont="1" applyFill="1" applyBorder="1" applyAlignment="1" applyProtection="1">
      <alignment horizontal="center"/>
      <protection locked="0"/>
    </xf>
    <xf numFmtId="4" fontId="9" fillId="4" borderId="2" xfId="0" applyNumberFormat="1" applyFont="1" applyFill="1" applyBorder="1" applyAlignment="1" applyProtection="1">
      <alignment horizontal="center"/>
      <protection locked="0"/>
    </xf>
    <xf numFmtId="4" fontId="10" fillId="4" borderId="2" xfId="0" applyNumberFormat="1" applyFont="1" applyFill="1" applyBorder="1" applyAlignment="1" applyProtection="1">
      <alignment horizontal="center"/>
      <protection locked="0"/>
    </xf>
    <xf numFmtId="164" fontId="9" fillId="4" borderId="2" xfId="0" applyNumberFormat="1"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0" fillId="2" borderId="0" xfId="0" applyFill="1" applyAlignment="1" applyProtection="1">
      <alignment horizontal="center"/>
    </xf>
    <xf numFmtId="0" fontId="0" fillId="0" borderId="0" xfId="0" applyProtection="1"/>
    <xf numFmtId="0" fontId="0" fillId="0" borderId="0" xfId="0" applyAlignment="1" applyProtection="1">
      <alignment horizontal="right"/>
    </xf>
    <xf numFmtId="0" fontId="5" fillId="0" borderId="0" xfId="0" applyFont="1" applyProtection="1"/>
    <xf numFmtId="0" fontId="5" fillId="0" borderId="0" xfId="0" applyFont="1" applyAlignment="1" applyProtection="1">
      <alignment horizontal="left" indent="1"/>
    </xf>
    <xf numFmtId="0" fontId="0" fillId="2" borderId="0" xfId="0" applyFill="1" applyProtection="1"/>
    <xf numFmtId="0" fontId="18" fillId="0" borderId="0" xfId="0" applyFont="1" applyProtection="1"/>
    <xf numFmtId="0" fontId="0" fillId="0" borderId="0" xfId="0" applyFill="1" applyProtection="1"/>
    <xf numFmtId="0" fontId="0" fillId="3" borderId="0" xfId="0" applyFill="1" applyProtection="1"/>
    <xf numFmtId="0" fontId="0" fillId="3" borderId="0" xfId="0" applyFill="1" applyAlignment="1" applyProtection="1">
      <alignment horizontal="left" wrapText="1" indent="1"/>
    </xf>
    <xf numFmtId="164" fontId="9" fillId="3" borderId="0" xfId="0" applyNumberFormat="1" applyFont="1" applyFill="1" applyBorder="1" applyAlignment="1" applyProtection="1">
      <alignment horizontal="center"/>
    </xf>
    <xf numFmtId="49" fontId="5" fillId="2" borderId="0" xfId="0" applyNumberFormat="1" applyFont="1" applyFill="1" applyProtection="1"/>
    <xf numFmtId="4" fontId="9" fillId="2" borderId="0" xfId="0" applyNumberFormat="1" applyFont="1" applyFill="1" applyBorder="1" applyAlignment="1" applyProtection="1">
      <alignment horizontal="center"/>
    </xf>
    <xf numFmtId="49" fontId="3" fillId="0" borderId="0" xfId="0" applyNumberFormat="1" applyFont="1" applyProtection="1"/>
    <xf numFmtId="4" fontId="9" fillId="3" borderId="0" xfId="0" applyNumberFormat="1" applyFont="1" applyFill="1" applyBorder="1" applyAlignment="1" applyProtection="1">
      <alignment horizontal="center"/>
    </xf>
    <xf numFmtId="0" fontId="0" fillId="3" borderId="0" xfId="0" applyFill="1" applyBorder="1" applyProtection="1"/>
    <xf numFmtId="4" fontId="10" fillId="3" borderId="0" xfId="0" applyNumberFormat="1" applyFont="1" applyFill="1" applyBorder="1" applyAlignment="1" applyProtection="1">
      <alignment horizontal="center"/>
    </xf>
    <xf numFmtId="0" fontId="3" fillId="2" borderId="0" xfId="0" applyFont="1" applyFill="1" applyProtection="1"/>
    <xf numFmtId="3" fontId="9" fillId="2" borderId="0" xfId="0" applyNumberFormat="1" applyFont="1" applyFill="1" applyBorder="1" applyAlignment="1" applyProtection="1">
      <alignment horizontal="center"/>
    </xf>
    <xf numFmtId="4" fontId="10" fillId="2" borderId="0" xfId="0" applyNumberFormat="1" applyFont="1" applyFill="1" applyBorder="1" applyAlignment="1" applyProtection="1">
      <alignment horizontal="center"/>
    </xf>
    <xf numFmtId="3" fontId="11" fillId="2" borderId="0" xfId="0" applyNumberFormat="1" applyFont="1" applyFill="1" applyAlignment="1" applyProtection="1">
      <alignment horizontal="center"/>
    </xf>
    <xf numFmtId="4" fontId="9" fillId="0" borderId="2" xfId="0" applyNumberFormat="1" applyFont="1" applyBorder="1" applyAlignment="1" applyProtection="1">
      <alignment horizontal="center"/>
    </xf>
    <xf numFmtId="4" fontId="10" fillId="0" borderId="2" xfId="0" applyNumberFormat="1" applyFont="1" applyBorder="1" applyAlignment="1" applyProtection="1">
      <alignment horizontal="center"/>
    </xf>
    <xf numFmtId="0" fontId="3" fillId="0" borderId="0" xfId="0" applyFont="1" applyProtection="1"/>
    <xf numFmtId="3" fontId="15" fillId="2" borderId="0" xfId="0" applyNumberFormat="1" applyFont="1" applyFill="1" applyAlignment="1" applyProtection="1">
      <alignment horizontal="center"/>
    </xf>
    <xf numFmtId="0" fontId="6" fillId="0" borderId="0" xfId="0" applyFont="1" applyProtection="1"/>
    <xf numFmtId="3" fontId="0" fillId="2" borderId="0" xfId="0" applyNumberFormat="1" applyFill="1" applyAlignment="1" applyProtection="1">
      <alignment horizontal="center"/>
    </xf>
    <xf numFmtId="0" fontId="1" fillId="0" borderId="2" xfId="0" applyFont="1" applyBorder="1" applyAlignment="1" applyProtection="1">
      <alignment wrapText="1"/>
    </xf>
    <xf numFmtId="0" fontId="12" fillId="0" borderId="0" xfId="0" applyFont="1" applyProtection="1"/>
    <xf numFmtId="9" fontId="5" fillId="0" borderId="0" xfId="0" applyNumberFormat="1" applyFont="1" applyAlignment="1" applyProtection="1">
      <alignment horizontal="center" wrapText="1"/>
    </xf>
    <xf numFmtId="0" fontId="1" fillId="0" borderId="7" xfId="0" applyFont="1" applyBorder="1" applyAlignment="1" applyProtection="1">
      <alignment wrapText="1"/>
    </xf>
    <xf numFmtId="0" fontId="5" fillId="0" borderId="0" xfId="2"/>
    <xf numFmtId="0" fontId="0" fillId="0" borderId="0" xfId="0" applyAlignment="1" applyProtection="1">
      <alignment horizontal="left" indent="4"/>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10" fontId="1" fillId="4" borderId="3" xfId="1" applyNumberFormat="1" applyFont="1" applyFill="1" applyBorder="1" applyAlignment="1" applyProtection="1">
      <alignment horizontal="center" vertical="center" wrapText="1"/>
      <protection locked="0"/>
    </xf>
    <xf numFmtId="10" fontId="1" fillId="4" borderId="10" xfId="1" applyNumberFormat="1" applyFont="1" applyFill="1" applyBorder="1" applyAlignment="1" applyProtection="1">
      <alignment horizontal="center" vertical="center" wrapText="1"/>
      <protection locked="0"/>
    </xf>
    <xf numFmtId="0" fontId="5" fillId="0" borderId="0" xfId="0" applyFont="1" applyAlignment="1" applyProtection="1">
      <alignment horizontal="left" wrapText="1" indent="4"/>
    </xf>
    <xf numFmtId="0" fontId="0" fillId="0" borderId="0" xfId="0" applyAlignment="1" applyProtection="1">
      <alignment horizontal="left" wrapText="1" indent="4"/>
    </xf>
    <xf numFmtId="0" fontId="6" fillId="0" borderId="6" xfId="0" applyFont="1" applyBorder="1" applyAlignment="1" applyProtection="1">
      <alignment wrapText="1"/>
    </xf>
    <xf numFmtId="0" fontId="6" fillId="0" borderId="7" xfId="0" applyFont="1" applyBorder="1" applyAlignment="1" applyProtection="1">
      <alignment wrapText="1"/>
    </xf>
    <xf numFmtId="0" fontId="0" fillId="0" borderId="0" xfId="0" applyFill="1" applyAlignment="1" applyProtection="1">
      <alignment horizontal="center"/>
    </xf>
    <xf numFmtId="3" fontId="11" fillId="2" borderId="0" xfId="0" applyNumberFormat="1" applyFont="1" applyFill="1" applyAlignment="1" applyProtection="1">
      <alignment horizontal="center"/>
    </xf>
    <xf numFmtId="0" fontId="19" fillId="0" borderId="0" xfId="0" applyFont="1" applyFill="1" applyAlignment="1" applyProtection="1">
      <alignment horizontal="center"/>
    </xf>
    <xf numFmtId="0" fontId="5" fillId="0" borderId="0" xfId="0" applyFont="1" applyAlignment="1" applyProtection="1">
      <alignment horizontal="center" wrapText="1"/>
    </xf>
    <xf numFmtId="0" fontId="0" fillId="0" borderId="0" xfId="0" applyAlignment="1" applyProtection="1">
      <alignment horizontal="center" wrapText="1"/>
    </xf>
    <xf numFmtId="0" fontId="6" fillId="0" borderId="0" xfId="0" applyFont="1" applyAlignment="1" applyProtection="1">
      <alignment wrapText="1"/>
    </xf>
    <xf numFmtId="0" fontId="6" fillId="0" borderId="8" xfId="0" applyFont="1" applyBorder="1" applyAlignment="1" applyProtection="1">
      <alignment vertical="top" wrapText="1"/>
    </xf>
    <xf numFmtId="0" fontId="6" fillId="0" borderId="2" xfId="0" applyFont="1" applyBorder="1" applyAlignment="1" applyProtection="1">
      <alignment vertical="top" wrapText="1"/>
    </xf>
    <xf numFmtId="9" fontId="8" fillId="0" borderId="2" xfId="1" applyFont="1" applyBorder="1" applyAlignment="1" applyProtection="1">
      <alignment horizontal="center" vertical="top" wrapText="1"/>
    </xf>
    <xf numFmtId="9" fontId="12" fillId="0" borderId="9" xfId="1" applyFont="1" applyBorder="1" applyAlignment="1" applyProtection="1">
      <alignment horizontal="center" vertical="top" wrapText="1"/>
    </xf>
    <xf numFmtId="0" fontId="12" fillId="0" borderId="0" xfId="2" applyFont="1" applyAlignment="1">
      <alignment horizontal="center"/>
    </xf>
    <xf numFmtId="0" fontId="6" fillId="0" borderId="0" xfId="2" applyFont="1" applyAlignment="1">
      <alignment wrapText="1"/>
    </xf>
    <xf numFmtId="0" fontId="5" fillId="0" borderId="0" xfId="2"/>
    <xf numFmtId="4" fontId="0" fillId="0" borderId="1" xfId="0" applyNumberFormat="1" applyBorder="1" applyAlignment="1">
      <alignment horizontal="center"/>
    </xf>
    <xf numFmtId="4" fontId="0" fillId="0" borderId="4" xfId="0" applyNumberFormat="1" applyBorder="1" applyAlignment="1">
      <alignment horizontal="center"/>
    </xf>
    <xf numFmtId="0" fontId="0" fillId="0" borderId="1" xfId="0" applyBorder="1" applyAlignment="1"/>
    <xf numFmtId="0" fontId="2" fillId="0" borderId="0" xfId="0" applyFont="1" applyAlignment="1">
      <alignment horizontal="center" vertical="center"/>
    </xf>
    <xf numFmtId="0" fontId="5" fillId="0" borderId="0" xfId="0" applyFont="1" applyBorder="1" applyAlignment="1">
      <alignment horizontal="center" wrapText="1"/>
    </xf>
    <xf numFmtId="0" fontId="0" fillId="0" borderId="0" xfId="0" applyBorder="1" applyAlignment="1">
      <alignment horizontal="center" wrapText="1"/>
    </xf>
    <xf numFmtId="4" fontId="0" fillId="0" borderId="4" xfId="0" applyNumberFormat="1" applyBorder="1" applyAlignment="1">
      <alignment horizontal="center" vertical="center"/>
    </xf>
    <xf numFmtId="0" fontId="0" fillId="0" borderId="0" xfId="0" applyBorder="1" applyAlignment="1">
      <alignment horizontal="center"/>
    </xf>
    <xf numFmtId="49" fontId="2" fillId="0" borderId="0" xfId="0" applyNumberFormat="1" applyFont="1" applyAlignment="1">
      <alignment horizontal="center"/>
    </xf>
    <xf numFmtId="0" fontId="8" fillId="0" borderId="0" xfId="0" applyFont="1" applyAlignment="1">
      <alignment horizontal="left" wrapText="1"/>
    </xf>
    <xf numFmtId="0" fontId="0" fillId="0" borderId="0" xfId="0" applyBorder="1" applyAlignment="1"/>
    <xf numFmtId="0" fontId="0" fillId="0" borderId="0" xfId="0" applyAlignment="1"/>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5" xfId="0" applyNumberFormat="1" applyFont="1" applyBorder="1" applyAlignment="1">
      <alignment horizontal="center"/>
    </xf>
    <xf numFmtId="0" fontId="21" fillId="0" borderId="0" xfId="0" applyFont="1" applyAlignment="1" applyProtection="1">
      <alignment horizontal="center"/>
    </xf>
  </cellXfs>
  <cellStyles count="3">
    <cellStyle name="Normal" xfId="0" builtinId="0"/>
    <cellStyle name="Normal 2" xfId="2" xr:uid="{C6CD7BC1-A093-4148-B1DC-88DB579F8A22}"/>
    <cellStyle name="Percent" xfId="1" builtinId="5"/>
  </cellStyles>
  <dxfs count="7">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H42"/>
  <sheetViews>
    <sheetView tabSelected="1" workbookViewId="0">
      <selection sqref="A1:H1"/>
    </sheetView>
  </sheetViews>
  <sheetFormatPr defaultRowHeight="12.75" x14ac:dyDescent="0.2"/>
  <cols>
    <col min="1" max="1" width="9.140625" style="49"/>
    <col min="2" max="2" width="24" style="49" customWidth="1"/>
    <col min="3" max="3" width="13.5703125" style="49" customWidth="1"/>
    <col min="4" max="4" width="3.140625" style="49" customWidth="1"/>
    <col min="5" max="5" width="14.7109375" style="49" customWidth="1"/>
    <col min="6" max="6" width="3.140625" style="49" customWidth="1"/>
    <col min="7" max="7" width="14.5703125" style="49" customWidth="1"/>
    <col min="8" max="8" width="3.140625" style="49" customWidth="1"/>
    <col min="9" max="16384" width="9.140625" style="49"/>
  </cols>
  <sheetData>
    <row r="1" spans="1:8" ht="20.25" x14ac:dyDescent="0.3">
      <c r="A1" s="118" t="s">
        <v>93</v>
      </c>
      <c r="B1" s="118"/>
      <c r="C1" s="118"/>
      <c r="D1" s="118"/>
      <c r="E1" s="118"/>
      <c r="F1" s="118"/>
      <c r="G1" s="118"/>
      <c r="H1" s="118"/>
    </row>
    <row r="2" spans="1:8" ht="48" customHeight="1" x14ac:dyDescent="0.2">
      <c r="A2" s="94" t="s">
        <v>121</v>
      </c>
      <c r="B2" s="94"/>
      <c r="C2" s="94"/>
      <c r="D2" s="94"/>
      <c r="E2" s="94"/>
      <c r="F2" s="94"/>
      <c r="G2" s="94"/>
      <c r="H2" s="94"/>
    </row>
    <row r="3" spans="1:8" ht="48" customHeight="1" x14ac:dyDescent="0.2">
      <c r="A3" s="94" t="s">
        <v>128</v>
      </c>
      <c r="B3" s="94"/>
      <c r="C3" s="94"/>
      <c r="D3" s="94"/>
      <c r="E3" s="94"/>
      <c r="F3" s="94"/>
      <c r="G3" s="94"/>
      <c r="H3" s="94"/>
    </row>
    <row r="4" spans="1:8" ht="32.1" customHeight="1" thickBot="1" x14ac:dyDescent="0.25">
      <c r="A4" s="94" t="s">
        <v>129</v>
      </c>
      <c r="B4" s="94"/>
      <c r="C4" s="94"/>
      <c r="D4" s="94"/>
      <c r="E4" s="94"/>
      <c r="F4" s="94"/>
      <c r="G4" s="94"/>
      <c r="H4" s="94"/>
    </row>
    <row r="5" spans="1:8" ht="45.95" customHeight="1" thickBot="1" x14ac:dyDescent="0.25">
      <c r="A5" s="87" t="s">
        <v>122</v>
      </c>
      <c r="B5" s="88"/>
      <c r="C5" s="88"/>
      <c r="D5" s="88"/>
      <c r="E5" s="88"/>
      <c r="F5" s="78"/>
      <c r="G5" s="83"/>
      <c r="H5" s="84"/>
    </row>
    <row r="6" spans="1:8" ht="15.95" customHeight="1" thickBot="1" x14ac:dyDescent="0.25">
      <c r="A6" s="95" t="s">
        <v>124</v>
      </c>
      <c r="B6" s="96"/>
      <c r="C6" s="96"/>
      <c r="D6" s="96"/>
      <c r="E6" s="96"/>
      <c r="F6" s="75"/>
      <c r="G6" s="97" t="s">
        <v>119</v>
      </c>
      <c r="H6" s="98"/>
    </row>
    <row r="7" spans="1:8" ht="6" customHeight="1" thickBot="1" x14ac:dyDescent="0.35">
      <c r="A7" s="76"/>
      <c r="E7" s="77"/>
      <c r="G7" s="77"/>
    </row>
    <row r="8" spans="1:8" ht="45.95" customHeight="1" thickBot="1" x14ac:dyDescent="0.25">
      <c r="A8" s="81" t="s">
        <v>123</v>
      </c>
      <c r="B8" s="82"/>
      <c r="C8" s="82"/>
      <c r="D8" s="82"/>
      <c r="E8" s="82"/>
      <c r="F8" s="78"/>
      <c r="G8" s="83"/>
      <c r="H8" s="84"/>
    </row>
    <row r="9" spans="1:8" ht="15.95" customHeight="1" thickBot="1" x14ac:dyDescent="0.25">
      <c r="A9" s="95" t="s">
        <v>124</v>
      </c>
      <c r="B9" s="96"/>
      <c r="C9" s="96"/>
      <c r="D9" s="96"/>
      <c r="E9" s="96"/>
      <c r="F9" s="75"/>
      <c r="G9" s="97" t="s">
        <v>120</v>
      </c>
      <c r="H9" s="98"/>
    </row>
    <row r="10" spans="1:8" ht="6" customHeight="1" x14ac:dyDescent="0.3">
      <c r="A10" s="76"/>
      <c r="E10" s="77"/>
      <c r="G10" s="77"/>
    </row>
    <row r="11" spans="1:8" ht="15.75" customHeight="1" x14ac:dyDescent="0.2">
      <c r="A11" s="91" t="s">
        <v>118</v>
      </c>
      <c r="B11" s="91"/>
      <c r="C11" s="93" t="s">
        <v>57</v>
      </c>
      <c r="D11" s="53"/>
      <c r="E11" s="92" t="s">
        <v>105</v>
      </c>
      <c r="F11" s="53"/>
      <c r="G11" s="92" t="s">
        <v>106</v>
      </c>
      <c r="H11" s="53"/>
    </row>
    <row r="12" spans="1:8" ht="24.95" customHeight="1" x14ac:dyDescent="0.2">
      <c r="A12" s="53"/>
      <c r="B12" s="53"/>
      <c r="C12" s="93"/>
      <c r="D12" s="53"/>
      <c r="E12" s="93"/>
      <c r="F12" s="53"/>
      <c r="G12" s="93"/>
      <c r="H12" s="53"/>
    </row>
    <row r="13" spans="1:8" ht="13.5" thickBot="1" x14ac:dyDescent="0.25">
      <c r="A13" s="71" t="s">
        <v>40</v>
      </c>
      <c r="C13" s="42"/>
      <c r="D13" s="53"/>
      <c r="E13" s="69">
        <f>C13*$G$5</f>
        <v>0</v>
      </c>
      <c r="F13" s="53"/>
      <c r="G13" s="70">
        <f>C13*$G$8</f>
        <v>0</v>
      </c>
      <c r="H13" s="53"/>
    </row>
    <row r="14" spans="1:8" x14ac:dyDescent="0.2">
      <c r="A14" s="53"/>
      <c r="B14" s="53"/>
      <c r="C14" s="53"/>
      <c r="D14" s="53"/>
      <c r="E14" s="74"/>
      <c r="F14" s="53"/>
      <c r="G14" s="40"/>
      <c r="H14" s="53"/>
    </row>
    <row r="15" spans="1:8" x14ac:dyDescent="0.2">
      <c r="A15" s="71" t="s">
        <v>41</v>
      </c>
      <c r="C15" s="48"/>
      <c r="D15" s="53"/>
      <c r="E15" s="74"/>
      <c r="F15" s="53"/>
      <c r="G15" s="40"/>
      <c r="H15" s="53"/>
    </row>
    <row r="16" spans="1:8" ht="15" thickBot="1" x14ac:dyDescent="0.25">
      <c r="B16" s="73" t="s">
        <v>42</v>
      </c>
      <c r="C16" s="42"/>
      <c r="D16" s="53"/>
      <c r="E16" s="69">
        <f>C16*$G$5</f>
        <v>0</v>
      </c>
      <c r="F16" s="53"/>
      <c r="G16" s="70">
        <f>C16*$G$8</f>
        <v>0</v>
      </c>
      <c r="H16" s="53"/>
    </row>
    <row r="17" spans="1:8" ht="15" thickBot="1" x14ac:dyDescent="0.25">
      <c r="B17" s="73" t="s">
        <v>43</v>
      </c>
      <c r="C17" s="43"/>
      <c r="D17" s="53"/>
      <c r="E17" s="69">
        <f>C17*$G$5</f>
        <v>0</v>
      </c>
      <c r="F17" s="53"/>
      <c r="G17" s="70">
        <f>C17*$G$8</f>
        <v>0</v>
      </c>
      <c r="H17" s="53"/>
    </row>
    <row r="18" spans="1:8" x14ac:dyDescent="0.2">
      <c r="A18" s="53"/>
      <c r="B18" s="53"/>
      <c r="C18" s="53"/>
      <c r="D18" s="53"/>
      <c r="E18" s="72">
        <f>IF(E17+E16=0,0,E17+E16)</f>
        <v>0</v>
      </c>
      <c r="F18" s="53"/>
      <c r="G18" s="72">
        <f>IF(G17+G16=0,0,G17+G16)</f>
        <v>0</v>
      </c>
      <c r="H18" s="53"/>
    </row>
    <row r="19" spans="1:8" ht="13.5" thickBot="1" x14ac:dyDescent="0.25">
      <c r="A19" s="71" t="s">
        <v>45</v>
      </c>
      <c r="C19" s="42"/>
      <c r="D19" s="53"/>
      <c r="E19" s="69">
        <f>C19*$G$5</f>
        <v>0</v>
      </c>
      <c r="F19" s="53"/>
      <c r="G19" s="70">
        <f>C19*$G$8</f>
        <v>0</v>
      </c>
      <c r="H19" s="53"/>
    </row>
    <row r="20" spans="1:8" x14ac:dyDescent="0.2">
      <c r="A20" s="65"/>
      <c r="B20" s="53"/>
      <c r="C20" s="66"/>
      <c r="D20" s="53"/>
      <c r="E20" s="60"/>
      <c r="F20" s="53"/>
      <c r="G20" s="67"/>
      <c r="H20" s="53"/>
    </row>
    <row r="21" spans="1:8" x14ac:dyDescent="0.2">
      <c r="A21" s="53"/>
      <c r="B21" s="89" t="s">
        <v>94</v>
      </c>
      <c r="C21" s="89"/>
      <c r="D21" s="89"/>
      <c r="E21" s="89"/>
      <c r="F21" s="89"/>
      <c r="G21" s="89"/>
      <c r="H21" s="53"/>
    </row>
    <row r="22" spans="1:8" x14ac:dyDescent="0.2">
      <c r="A22" s="53"/>
      <c r="B22" s="53"/>
      <c r="C22" s="90"/>
      <c r="D22" s="90"/>
      <c r="E22" s="68"/>
      <c r="F22" s="48"/>
      <c r="G22" s="68"/>
      <c r="H22" s="48"/>
    </row>
    <row r="23" spans="1:8" ht="13.5" thickBot="1" x14ac:dyDescent="0.25">
      <c r="A23" s="61" t="s">
        <v>112</v>
      </c>
      <c r="C23" s="48"/>
      <c r="D23" s="53"/>
      <c r="E23" s="44"/>
      <c r="F23" s="53"/>
      <c r="G23" s="45"/>
      <c r="H23" s="53"/>
    </row>
    <row r="24" spans="1:8" x14ac:dyDescent="0.2">
      <c r="A24" s="56"/>
      <c r="B24" s="56"/>
      <c r="C24" s="48"/>
      <c r="D24" s="53"/>
      <c r="E24" s="62"/>
      <c r="F24" s="63"/>
      <c r="G24" s="64"/>
      <c r="H24" s="53"/>
    </row>
    <row r="25" spans="1:8" ht="13.5" thickBot="1" x14ac:dyDescent="0.25">
      <c r="A25" s="61" t="s">
        <v>113</v>
      </c>
      <c r="C25" s="48"/>
      <c r="D25" s="53"/>
      <c r="E25" s="44"/>
      <c r="F25" s="53"/>
      <c r="G25" s="40"/>
      <c r="H25" s="53"/>
    </row>
    <row r="26" spans="1:8" x14ac:dyDescent="0.2">
      <c r="A26" s="59"/>
      <c r="B26" s="53"/>
      <c r="C26" s="48"/>
      <c r="D26" s="53"/>
      <c r="E26" s="60"/>
      <c r="F26" s="53"/>
      <c r="G26" s="40"/>
      <c r="H26" s="53"/>
    </row>
    <row r="27" spans="1:8" x14ac:dyDescent="0.2">
      <c r="A27" s="61" t="s">
        <v>114</v>
      </c>
      <c r="C27" s="48"/>
      <c r="D27" s="53"/>
      <c r="E27" s="48"/>
      <c r="F27" s="53"/>
      <c r="G27" s="40"/>
      <c r="H27" s="53"/>
    </row>
    <row r="28" spans="1:8" ht="13.5" thickBot="1" x14ac:dyDescent="0.25">
      <c r="A28" s="85" t="s">
        <v>116</v>
      </c>
      <c r="B28" s="86"/>
      <c r="C28" s="46"/>
      <c r="D28" s="53"/>
      <c r="E28" s="56"/>
      <c r="F28" s="53"/>
      <c r="G28" s="40"/>
      <c r="H28" s="53"/>
    </row>
    <row r="29" spans="1:8" x14ac:dyDescent="0.2">
      <c r="A29" s="57"/>
      <c r="B29" s="57"/>
      <c r="C29" s="58"/>
      <c r="D29" s="56"/>
      <c r="E29" s="56"/>
      <c r="F29" s="53"/>
      <c r="G29" s="40"/>
      <c r="H29" s="53"/>
    </row>
    <row r="30" spans="1:8" ht="39" customHeight="1" thickBot="1" x14ac:dyDescent="0.25">
      <c r="A30" s="85" t="s">
        <v>107</v>
      </c>
      <c r="B30" s="85"/>
      <c r="C30" s="44"/>
      <c r="D30" s="53"/>
      <c r="E30" s="56"/>
      <c r="F30" s="53"/>
      <c r="G30" s="40"/>
      <c r="H30" s="53"/>
    </row>
    <row r="31" spans="1:8" x14ac:dyDescent="0.2">
      <c r="A31" s="53"/>
      <c r="B31" s="53"/>
      <c r="C31" s="48"/>
      <c r="D31" s="53"/>
      <c r="E31" s="48"/>
      <c r="F31" s="53"/>
      <c r="G31" s="40"/>
      <c r="H31" s="53"/>
    </row>
    <row r="32" spans="1:8" x14ac:dyDescent="0.2">
      <c r="A32" s="54" t="s">
        <v>117</v>
      </c>
      <c r="D32" s="55"/>
      <c r="E32" s="53"/>
      <c r="F32" s="48"/>
      <c r="G32" s="48"/>
      <c r="H32" s="48"/>
    </row>
    <row r="33" spans="1:8" ht="13.5" thickBot="1" x14ac:dyDescent="0.25">
      <c r="A33" s="80" t="s">
        <v>58</v>
      </c>
      <c r="B33" s="80"/>
      <c r="C33" s="47"/>
      <c r="D33" s="48"/>
      <c r="E33" s="48"/>
      <c r="F33" s="48"/>
      <c r="G33" s="48"/>
      <c r="H33" s="48"/>
    </row>
    <row r="34" spans="1:8" ht="13.5" thickBot="1" x14ac:dyDescent="0.25">
      <c r="A34" s="80" t="s">
        <v>59</v>
      </c>
      <c r="B34" s="80"/>
      <c r="C34" s="47"/>
      <c r="D34" s="48"/>
      <c r="E34" s="48"/>
      <c r="F34" s="48"/>
      <c r="G34" s="48"/>
      <c r="H34" s="48"/>
    </row>
    <row r="35" spans="1:8" x14ac:dyDescent="0.2">
      <c r="A35" s="48"/>
      <c r="B35" s="48"/>
      <c r="C35" s="48"/>
      <c r="D35" s="48"/>
      <c r="E35" s="48"/>
      <c r="F35" s="48"/>
      <c r="G35" s="48"/>
      <c r="H35" s="48"/>
    </row>
    <row r="37" spans="1:8" x14ac:dyDescent="0.2">
      <c r="A37" s="50" t="s">
        <v>103</v>
      </c>
      <c r="B37" s="51" t="s">
        <v>108</v>
      </c>
    </row>
    <row r="38" spans="1:8" x14ac:dyDescent="0.2">
      <c r="B38" s="52" t="s">
        <v>111</v>
      </c>
    </row>
    <row r="39" spans="1:8" x14ac:dyDescent="0.2">
      <c r="B39" s="52" t="s">
        <v>115</v>
      </c>
    </row>
    <row r="40" spans="1:8" x14ac:dyDescent="0.2">
      <c r="B40" s="51"/>
    </row>
    <row r="41" spans="1:8" x14ac:dyDescent="0.2">
      <c r="A41" s="50" t="s">
        <v>104</v>
      </c>
      <c r="B41" s="51" t="s">
        <v>109</v>
      </c>
    </row>
    <row r="42" spans="1:8" x14ac:dyDescent="0.2">
      <c r="B42" s="52" t="s">
        <v>110</v>
      </c>
    </row>
  </sheetData>
  <sheetProtection algorithmName="SHA-512" hashValue="+ky9lazKR5Z9cbx0e8w4Tu9ghlrcLWIc0obWjIjjfP3IZJiurHoLKuilpSjB6bMguR3n8YzB48BdpTpN64xqjg==" saltValue="w/NDwF6UeFo+Bfi8EZaiTQ==" spinCount="100000" sheet="1" objects="1" scenarios="1"/>
  <mergeCells count="22">
    <mergeCell ref="A4:H4"/>
    <mergeCell ref="C11:C12"/>
    <mergeCell ref="A6:E6"/>
    <mergeCell ref="G6:H6"/>
    <mergeCell ref="A9:E9"/>
    <mergeCell ref="G9:H9"/>
    <mergeCell ref="A33:B33"/>
    <mergeCell ref="A34:B34"/>
    <mergeCell ref="A1:H1"/>
    <mergeCell ref="A8:E8"/>
    <mergeCell ref="G5:H5"/>
    <mergeCell ref="G8:H8"/>
    <mergeCell ref="A28:B28"/>
    <mergeCell ref="A30:B30"/>
    <mergeCell ref="A5:E5"/>
    <mergeCell ref="B21:G21"/>
    <mergeCell ref="C22:D22"/>
    <mergeCell ref="A11:B11"/>
    <mergeCell ref="E11:E12"/>
    <mergeCell ref="G11:G12"/>
    <mergeCell ref="A2:H2"/>
    <mergeCell ref="A3:H3"/>
  </mergeCells>
  <phoneticPr fontId="0" type="noConversion"/>
  <conditionalFormatting sqref="F22 H22">
    <cfRule type="expression" dxfId="6" priority="1" stopIfTrue="1">
      <formula>E19=0</formula>
    </cfRule>
    <cfRule type="expression" dxfId="5" priority="2" stopIfTrue="1">
      <formula>E22="Grade 7 thru"</formula>
    </cfRule>
    <cfRule type="expression" dxfId="4" priority="3" stopIfTrue="1">
      <formula>E19&gt;99.99</formula>
    </cfRule>
  </conditionalFormatting>
  <pageMargins left="0.75" right="0.75" top="0.5" bottom="0.25" header="0.5" footer="0.25"/>
  <pageSetup orientation="portrait"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B136-AD8F-4F84-8EB2-D704C417F3DB}">
  <dimension ref="A1:J3"/>
  <sheetViews>
    <sheetView zoomScaleNormal="100" workbookViewId="0">
      <selection activeCell="A3" sqref="A3:J3"/>
    </sheetView>
  </sheetViews>
  <sheetFormatPr defaultRowHeight="12.75" x14ac:dyDescent="0.2"/>
  <cols>
    <col min="1" max="16384" width="9.140625" style="79"/>
  </cols>
  <sheetData>
    <row r="1" spans="1:10" ht="20.25" x14ac:dyDescent="0.3">
      <c r="A1" s="99" t="s">
        <v>125</v>
      </c>
      <c r="B1" s="99"/>
      <c r="C1" s="99"/>
      <c r="D1" s="99"/>
      <c r="E1" s="99"/>
      <c r="F1" s="99"/>
      <c r="G1" s="99"/>
      <c r="H1" s="99"/>
      <c r="I1" s="99"/>
      <c r="J1" s="99"/>
    </row>
    <row r="2" spans="1:10" ht="32.1" customHeight="1" x14ac:dyDescent="0.2">
      <c r="A2" s="100" t="s">
        <v>126</v>
      </c>
      <c r="B2" s="100"/>
      <c r="C2" s="100"/>
      <c r="D2" s="100"/>
      <c r="E2" s="100"/>
      <c r="F2" s="100"/>
      <c r="G2" s="100"/>
      <c r="H2" s="100"/>
      <c r="I2" s="100"/>
      <c r="J2" s="100"/>
    </row>
    <row r="3" spans="1:10" ht="320.10000000000002" customHeight="1" x14ac:dyDescent="0.2">
      <c r="A3" s="100" t="s">
        <v>127</v>
      </c>
      <c r="B3" s="101"/>
      <c r="C3" s="101"/>
      <c r="D3" s="101"/>
      <c r="E3" s="101"/>
      <c r="F3" s="101"/>
      <c r="G3" s="101"/>
      <c r="H3" s="101"/>
      <c r="I3" s="101"/>
      <c r="J3" s="101"/>
    </row>
  </sheetData>
  <sheetProtection algorithmName="SHA-512" hashValue="9KISltMTpNQg7OzRBwlnMle0YZ6KiV+2iTq06nbZ4GBY5fTFclJy2cLw3Ae7bu2V/Wwfgf4oAINnbQDpt7HpjQ==" saltValue="2T/WA/1bDmIjzfdwusjbmQ==" spinCount="100000" sheet="1" objects="1" scenarios="1"/>
  <mergeCells count="3">
    <mergeCell ref="A1:J1"/>
    <mergeCell ref="A2:J2"/>
    <mergeCell ref="A3:J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showGridLines="0" zoomScale="90" zoomScaleNormal="100" workbookViewId="0">
      <selection activeCell="O7" sqref="O7"/>
    </sheetView>
  </sheetViews>
  <sheetFormatPr defaultRowHeight="12.75" x14ac:dyDescent="0.2"/>
  <cols>
    <col min="1" max="1" width="4.140625" style="3" customWidth="1"/>
    <col min="2" max="2" width="2.57031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9.140625" style="36" customWidth="1"/>
  </cols>
  <sheetData>
    <row r="1" spans="1:17" ht="14.25" customHeight="1" x14ac:dyDescent="0.25">
      <c r="P1" s="2"/>
    </row>
    <row r="2" spans="1:17" ht="15.75" x14ac:dyDescent="0.2">
      <c r="A2" s="105" t="s">
        <v>78</v>
      </c>
      <c r="B2" s="105"/>
      <c r="C2" s="105"/>
      <c r="D2" s="105"/>
      <c r="E2" s="105"/>
      <c r="F2" s="105"/>
      <c r="G2" s="105"/>
      <c r="H2" s="105"/>
      <c r="I2" s="105"/>
      <c r="J2" s="105"/>
      <c r="K2" s="105"/>
      <c r="L2" s="105"/>
      <c r="M2" s="105"/>
      <c r="N2" s="105"/>
      <c r="O2" s="105"/>
    </row>
    <row r="3" spans="1:17" ht="15.75" x14ac:dyDescent="0.2">
      <c r="A3" s="105" t="s">
        <v>102</v>
      </c>
      <c r="B3" s="105"/>
      <c r="C3" s="105"/>
      <c r="D3" s="105"/>
      <c r="E3" s="105"/>
      <c r="F3" s="105"/>
      <c r="G3" s="105"/>
      <c r="H3" s="105"/>
      <c r="I3" s="105"/>
      <c r="J3" s="105"/>
      <c r="K3" s="105"/>
      <c r="L3" s="105"/>
      <c r="M3" s="105"/>
      <c r="N3" s="105"/>
      <c r="O3" s="105"/>
    </row>
    <row r="4" spans="1:17" ht="7.5" customHeight="1" x14ac:dyDescent="0.2"/>
    <row r="5" spans="1:17" ht="31.5" customHeight="1" x14ac:dyDescent="0.2">
      <c r="A5" s="14" t="s">
        <v>39</v>
      </c>
      <c r="F5" s="32" t="s">
        <v>79</v>
      </c>
      <c r="H5" s="33" t="s">
        <v>83</v>
      </c>
      <c r="I5" s="16"/>
      <c r="J5" s="106" t="s">
        <v>84</v>
      </c>
      <c r="K5" s="107"/>
      <c r="M5" s="19" t="s">
        <v>80</v>
      </c>
      <c r="O5" s="31" t="s">
        <v>81</v>
      </c>
    </row>
    <row r="6" spans="1:17" ht="6.75" customHeight="1" x14ac:dyDescent="0.2"/>
    <row r="7" spans="1:17" ht="15.75" x14ac:dyDescent="0.25">
      <c r="B7" s="11" t="s">
        <v>40</v>
      </c>
      <c r="F7" s="28" t="str">
        <f>IF('Input Enrollment'!$E$13=0,"0",'Input Enrollment'!$E$13)</f>
        <v>0</v>
      </c>
      <c r="G7" s="27"/>
      <c r="J7" s="102" t="str">
        <f>IF('Input Enrollment'!$E$13=0,"0",'Input Enrollment'!$E$13)</f>
        <v>0</v>
      </c>
      <c r="K7" s="102"/>
      <c r="L7" s="17" t="s">
        <v>51</v>
      </c>
      <c r="M7" s="13">
        <f>IF('Input Enrollment'!E13=0,0,LOOKUP(J7,criteria!$A$3:$A$10,criteria!$B$3:$B$10))</f>
        <v>0</v>
      </c>
      <c r="N7" s="15" t="s">
        <v>15</v>
      </c>
      <c r="O7" s="28">
        <f>IF(Q7=0,0,IF(Q7&lt;LOOKUP(J7,criteria!$A$3:$A$10,criteria!$C$3:$C$10),LOOKUP(J7,criteria!$A$3:$A$10,criteria!$C$3:$C$10),IF(LOOKUP(J7,criteria!$A$3:$A$10,criteria!$C$3:$C$10)=0,0,Q7)))</f>
        <v>0</v>
      </c>
      <c r="P7" s="10" t="str">
        <f>IF('Input Enrollment'!E13=0," ",IF(O7=0,"ADD to 1-6",IF(O7=Q7," ","Minimum")))</f>
        <v xml:space="preserve"> </v>
      </c>
      <c r="Q7" s="36">
        <f>ROUND(IF('Input Enrollment'!E13=0,0,IF(M7=0,0,(J7/M7))),2)</f>
        <v>0</v>
      </c>
    </row>
    <row r="8" spans="1:17" ht="6.75" customHeight="1" x14ac:dyDescent="0.2">
      <c r="J8" s="26"/>
      <c r="K8" s="26"/>
      <c r="O8" s="26"/>
    </row>
    <row r="9" spans="1:17" x14ac:dyDescent="0.2">
      <c r="B9" s="11" t="s">
        <v>41</v>
      </c>
      <c r="J9" s="26"/>
      <c r="K9" s="26"/>
      <c r="O9" s="26"/>
    </row>
    <row r="10" spans="1:17" x14ac:dyDescent="0.2">
      <c r="B10" s="10" t="s">
        <v>82</v>
      </c>
      <c r="J10" s="26"/>
      <c r="K10" s="26"/>
      <c r="O10" s="26"/>
    </row>
    <row r="11" spans="1:17" ht="16.5" customHeight="1" x14ac:dyDescent="0.25">
      <c r="C11" s="12" t="s">
        <v>42</v>
      </c>
      <c r="F11" s="13" t="str">
        <f>IF(J11=0," ",IF($J$16&gt;300," ",'Input Enrollment'!E16))</f>
        <v xml:space="preserve"> </v>
      </c>
      <c r="G11" s="24" t="s">
        <v>88</v>
      </c>
      <c r="H11" s="28" t="str">
        <f>IF(J11=0," ",'Exceptional Child Calc'!H25)</f>
        <v xml:space="preserve"> </v>
      </c>
      <c r="I11" s="15" t="s">
        <v>15</v>
      </c>
      <c r="J11" s="102">
        <f>IF('Input Enrollment'!E16=0,0,IF(SUM('Input Enrollment'!E16-'Exceptional Child Calc'!H25)+SUM('Input Enrollment'!E17-'Exceptional Child Calc'!H26)&gt;299.99,SUM('Input Enrollment'!E16-'Exceptional Child Calc'!H25),0))</f>
        <v>0</v>
      </c>
      <c r="K11" s="102"/>
      <c r="L11" s="17" t="s">
        <v>51</v>
      </c>
      <c r="M11" s="13">
        <f>IF(SUM('Input Enrollment'!$E$16-'Exceptional Child Calc'!$H$25)+SUM('Input Enrollment'!$E$17-'Exceptional Child Calc'!$H$26)&gt;299.99,20,0)</f>
        <v>0</v>
      </c>
      <c r="N11" s="15" t="s">
        <v>15</v>
      </c>
      <c r="O11" s="28">
        <f>ROUND(IF(SUM('Input Enrollment'!$E$16-'Exceptional Child Calc'!$H$25)+SUM('Input Enrollment'!$E$17-'Exceptional Child Calc'!$H$26)&lt;299.99,0,IF(Q11+Q13&lt;15,0,(J11/M11))),2)</f>
        <v>0</v>
      </c>
      <c r="P11" t="str">
        <f>IF(O11=0," ",IF(O11=Q11," ","Minimum"))</f>
        <v xml:space="preserve"> </v>
      </c>
      <c r="Q11" s="36">
        <f>ROUND(IF(SUM('Input Enrollment'!$E$16-'Exceptional Child Calc'!$H$25)+SUM('Input Enrollment'!$E$17-'Exceptional Child Calc'!$H$26)&lt;299.99,0,(J11/M11)),2)</f>
        <v>0</v>
      </c>
    </row>
    <row r="12" spans="1:17" ht="9" customHeight="1" x14ac:dyDescent="0.2">
      <c r="B12" s="12"/>
      <c r="J12" s="26"/>
      <c r="K12" s="26"/>
      <c r="O12" s="26"/>
    </row>
    <row r="13" spans="1:17" ht="15.75" x14ac:dyDescent="0.25">
      <c r="C13" s="12" t="s">
        <v>43</v>
      </c>
      <c r="F13" s="13" t="str">
        <f>IF(J13=0," ",IF($J$16&gt;300," ",'Input Enrollment'!E17))</f>
        <v xml:space="preserve"> </v>
      </c>
      <c r="G13" s="24" t="s">
        <v>88</v>
      </c>
      <c r="H13" s="28" t="str">
        <f>IF(J13=0," ",'Exceptional Child Calc'!H26)</f>
        <v xml:space="preserve"> </v>
      </c>
      <c r="I13" s="15" t="s">
        <v>15</v>
      </c>
      <c r="J13" s="102">
        <f>IF('Input Enrollment'!E17=0,0,IF(SUM('Input Enrollment'!E16-'Exceptional Child Calc'!H25)+SUM('Input Enrollment'!E17-'Exceptional Child Calc'!H26)&gt;299.99,SUM('Input Enrollment'!E17-'Exceptional Child Calc'!H26),0))</f>
        <v>0</v>
      </c>
      <c r="K13" s="102"/>
      <c r="L13" s="17" t="s">
        <v>51</v>
      </c>
      <c r="M13" s="13">
        <f>IF(SUM('Input Enrollment'!$E$16-'Exceptional Child Calc'!$H$25)+SUM('Input Enrollment'!$E$17-'Exceptional Child Calc'!$H$26)&gt;299.99,23,0)</f>
        <v>0</v>
      </c>
      <c r="N13" s="15" t="s">
        <v>15</v>
      </c>
      <c r="O13" s="28">
        <f>ROUND(IF(SUM('Input Enrollment'!$E$16-'Exceptional Child Calc'!$H$25)+SUM('Input Enrollment'!$E$17-'Exceptional Child Calc'!$H$26)&lt;299.99,0,IF(Q11+Q13&lt;15,0,($J$13/$M$13))),2)</f>
        <v>0</v>
      </c>
      <c r="P13" t="str">
        <f>IF(O13=0," ",IF(O13=Q13," ","Minimum"))</f>
        <v xml:space="preserve"> </v>
      </c>
      <c r="Q13" s="36">
        <f>ROUND(IF(SUM('Input Enrollment'!$E$16-'Exceptional Child Calc'!$H$25)+SUM('Input Enrollment'!$E$17-'Exceptional Child Calc'!$H$26)&lt;299.99,0,($J$13/$M$13)),2)</f>
        <v>0</v>
      </c>
    </row>
    <row r="14" spans="1:17" ht="17.25" customHeight="1" x14ac:dyDescent="0.2">
      <c r="B14" s="11" t="s">
        <v>41</v>
      </c>
      <c r="F14" s="16"/>
      <c r="G14" s="24"/>
      <c r="H14" s="27"/>
      <c r="I14" s="15"/>
      <c r="J14" s="27"/>
      <c r="K14" s="27"/>
      <c r="M14" s="16"/>
      <c r="N14" s="15"/>
      <c r="O14" s="27"/>
    </row>
    <row r="15" spans="1:17" x14ac:dyDescent="0.2">
      <c r="B15" s="10" t="s">
        <v>92</v>
      </c>
      <c r="O15" s="35" t="str">
        <f>IF(P15="Minimum",15," ")</f>
        <v xml:space="preserve"> </v>
      </c>
      <c r="P15" t="str">
        <f>IF(Q11+Q13=0," ",IF(Q11+Q13&lt;15,"Minimum"," "))</f>
        <v xml:space="preserve"> </v>
      </c>
    </row>
    <row r="16" spans="1:17" ht="15.75" x14ac:dyDescent="0.25">
      <c r="C16" s="12" t="s">
        <v>44</v>
      </c>
      <c r="F16" s="13" t="str">
        <f>IF(J16=0," ",IF(J16&lt;300,SUM('Input Enrollment'!E16+'Input Enrollment'!E17)," "))</f>
        <v xml:space="preserve"> </v>
      </c>
      <c r="G16" s="24" t="s">
        <v>88</v>
      </c>
      <c r="H16" s="28" t="str">
        <f>IF(J16=0," ",'Exceptional Child Calc'!H22)</f>
        <v xml:space="preserve"> </v>
      </c>
      <c r="I16" s="15" t="s">
        <v>15</v>
      </c>
      <c r="J16" s="102">
        <f>IF('Input Enrollment'!E18=0,0,IF(SUM('Input Enrollment'!E16-'Exceptional Child Calc'!H25)+SUM('Input Enrollment'!E17-'Exceptional Child Calc'!H26)&lt;300,IF(P7="ADD to 1-6",SUM('Input Enrollment'!E16-'Exceptional Child Calc'!H25)+SUM('Input Enrollment'!E17-'Exceptional Child Calc'!H26)+'Input Enrollment'!E13,SUM('Input Enrollment'!E16-'Exceptional Child Calc'!H25)+SUM('Input Enrollment'!E17-'Exceptional Child Calc'!H26)),0))</f>
        <v>0</v>
      </c>
      <c r="K16" s="102"/>
      <c r="L16" s="17" t="s">
        <v>51</v>
      </c>
      <c r="M16" s="13">
        <f>IF(J16=0,0,LOOKUP(J16,criteria!$M$3:$M$11,criteria!$N$3:$N$11))</f>
        <v>0</v>
      </c>
      <c r="N16" s="15" t="s">
        <v>15</v>
      </c>
      <c r="O16" s="28">
        <f>IF(Q16=0,0,IF(Q16&lt;LOOKUP(J16,criteria!$M$3:$M$10,criteria!$O$3:$O$10),LOOKUP(J16,criteria!$M$3:$M$10,criteria!$O$3:$O$10),Q16))</f>
        <v>0</v>
      </c>
      <c r="P16" t="str">
        <f>IF(O16=0," ",IF(O16=Q16," ","Minimum"))</f>
        <v xml:space="preserve"> </v>
      </c>
      <c r="Q16" s="36">
        <f>ROUND(IF('Input Enrollment'!E18=0,0,IF(SUM('Input Enrollment'!$E$16-'Exceptional Child Calc'!$H$25)+SUM('Input Enrollment'!$E$17-'Exceptional Child Calc'!$H$26)&gt;299.99,0,(J16/M16))),2)</f>
        <v>0</v>
      </c>
    </row>
    <row r="17" spans="1:17" ht="6" customHeight="1" x14ac:dyDescent="0.2">
      <c r="J17" s="26"/>
      <c r="K17" s="26"/>
      <c r="O17" s="26"/>
    </row>
    <row r="18" spans="1:17" ht="15.75" x14ac:dyDescent="0.25">
      <c r="B18" s="11" t="s">
        <v>45</v>
      </c>
      <c r="F18" s="13" t="str">
        <f>IF(J18=0," ",'Input Enrollment'!E19)</f>
        <v xml:space="preserve"> </v>
      </c>
      <c r="G18" s="24" t="s">
        <v>88</v>
      </c>
      <c r="H18" s="28" t="str">
        <f>IF('Exceptional Child Calc'!$H$43=0," ",'Exceptional Child Calc'!$H$43)</f>
        <v xml:space="preserve"> </v>
      </c>
      <c r="I18" s="15" t="s">
        <v>15</v>
      </c>
      <c r="J18" s="102">
        <f>IF('Input Enrollment'!E19=0,0,SUM('Input Enrollment'!E19-'Exceptional Child Calc'!H43))</f>
        <v>0</v>
      </c>
      <c r="K18" s="102"/>
      <c r="L18" s="17" t="s">
        <v>51</v>
      </c>
      <c r="M18" s="13">
        <f>IF('Input Enrollment'!C19=0,0,IF(J18&gt;99.99,LOOKUP(J18,criteria!Q3:Q10,criteria!R3:R10),12))</f>
        <v>0</v>
      </c>
      <c r="N18" s="15" t="s">
        <v>15</v>
      </c>
      <c r="O18" s="28">
        <f>ROUND(IF(J18=0,0,IF(J18&lt;99.99,IF(M18=0,8,(J18/M18)),IF(Q18&lt;LOOKUP(J18,criteria!$Q$3:$Q$10,criteria!$S$3:$S$10),LOOKUP(J18,criteria!$Q$3:$Q$10,criteria!$S$3:$S$10),Q18))),2)</f>
        <v>0</v>
      </c>
      <c r="P18" t="str">
        <f>IF(O18=0," ",IF(O18=Q18," ","Minimum"))</f>
        <v xml:space="preserve"> </v>
      </c>
      <c r="Q18" s="36">
        <f>ROUND(IF(M18=0,0,(J18/M18)),2)</f>
        <v>0</v>
      </c>
    </row>
    <row r="19" spans="1:17" ht="9" customHeight="1" x14ac:dyDescent="0.2">
      <c r="B19" s="11"/>
      <c r="F19" s="16"/>
      <c r="G19" s="24"/>
      <c r="H19" s="27"/>
      <c r="I19" s="15"/>
      <c r="J19" s="27"/>
      <c r="K19" s="27"/>
      <c r="M19" s="16"/>
      <c r="N19" s="15"/>
      <c r="O19" s="16"/>
    </row>
    <row r="20" spans="1:17" ht="15" x14ac:dyDescent="0.2">
      <c r="A20" s="7" t="s">
        <v>70</v>
      </c>
      <c r="J20" s="26"/>
      <c r="K20" s="26"/>
    </row>
    <row r="21" spans="1:17" ht="3.75" customHeight="1" x14ac:dyDescent="0.2">
      <c r="J21" s="26"/>
      <c r="K21" s="26"/>
    </row>
    <row r="22" spans="1:17" x14ac:dyDescent="0.2">
      <c r="B22" t="s">
        <v>85</v>
      </c>
      <c r="J22" s="102" t="str">
        <f>IF('Exceptional Child Calc'!H55=0," ",'Exceptional Child Calc'!H55)</f>
        <v xml:space="preserve"> </v>
      </c>
      <c r="K22" s="102"/>
    </row>
    <row r="23" spans="1:17" ht="9" customHeight="1" x14ac:dyDescent="0.2">
      <c r="J23" s="26"/>
      <c r="K23" s="26"/>
    </row>
    <row r="24" spans="1:17" x14ac:dyDescent="0.2">
      <c r="B24" t="s">
        <v>86</v>
      </c>
      <c r="J24" s="102" t="str">
        <f>IF('Exceptional Child Calc'!H22=0," ",'Exceptional Child Calc'!H22)</f>
        <v xml:space="preserve"> </v>
      </c>
      <c r="K24" s="102"/>
    </row>
    <row r="25" spans="1:17" ht="9" customHeight="1" x14ac:dyDescent="0.2">
      <c r="J25" s="26"/>
      <c r="K25" s="26"/>
    </row>
    <row r="26" spans="1:17" x14ac:dyDescent="0.2">
      <c r="B26" t="s">
        <v>87</v>
      </c>
      <c r="J26" s="102" t="str">
        <f>IF('Exceptional Child Calc'!$H$43=0," ",'Exceptional Child Calc'!$H$43)</f>
        <v xml:space="preserve"> </v>
      </c>
      <c r="K26" s="102"/>
    </row>
    <row r="27" spans="1:17" ht="8.25" customHeight="1" x14ac:dyDescent="0.2">
      <c r="J27" s="26"/>
      <c r="K27" s="26"/>
    </row>
    <row r="28" spans="1:17" ht="6" customHeight="1" x14ac:dyDescent="0.2">
      <c r="J28" s="27"/>
      <c r="K28" s="27"/>
    </row>
    <row r="29" spans="1:17" ht="16.5" thickBot="1" x14ac:dyDescent="0.3">
      <c r="B29" s="1" t="s">
        <v>89</v>
      </c>
      <c r="J29" s="103">
        <f>SUM(J22:K27)</f>
        <v>0</v>
      </c>
      <c r="K29" s="103"/>
      <c r="L29" s="17" t="s">
        <v>51</v>
      </c>
      <c r="M29" s="13">
        <f>IF(SUM('Input Enrollment'!C13:C19)=0,0,IF(J29&gt;=14,LOOKUP(J29,criteria!$U$3:$U$10,criteria!$V$3:$V$10),0))</f>
        <v>0</v>
      </c>
      <c r="N29" s="15" t="s">
        <v>15</v>
      </c>
      <c r="O29" s="28">
        <f>IF(J29=0,0,IF(Q29&lt;LOOKUP(J29,criteria!$U$3:$U$10,criteria!$W$3:$W$10),LOOKUP(J29,criteria!$U$3:$U$10,criteria!$W$3:$W$10),Q29))</f>
        <v>0</v>
      </c>
      <c r="P29" t="str">
        <f>IF(O29=0," ",IF(O29=Q29," ","Minimum"))</f>
        <v xml:space="preserve"> </v>
      </c>
      <c r="Q29" s="36">
        <f>ROUND(IF(SUM('Input Enrollment'!C13:C19)=0,0,IF(M29=0,0,(J29/M29))),2)</f>
        <v>0</v>
      </c>
    </row>
    <row r="30" spans="1:17" ht="21" customHeight="1" thickTop="1" x14ac:dyDescent="0.2">
      <c r="B30" s="29"/>
      <c r="C30" s="29"/>
      <c r="D30" s="29"/>
      <c r="E30" s="29"/>
      <c r="F30" s="29"/>
      <c r="G30" s="29"/>
      <c r="H30" s="29"/>
      <c r="J30" s="12"/>
      <c r="N30" s="15"/>
      <c r="O30" s="16"/>
      <c r="P30" s="1"/>
    </row>
    <row r="31" spans="1:17" ht="19.5" customHeight="1" x14ac:dyDescent="0.25">
      <c r="A31" s="4" t="s">
        <v>101</v>
      </c>
    </row>
    <row r="32" spans="1:17" ht="15.75" x14ac:dyDescent="0.25">
      <c r="B32" s="104" t="str">
        <f>IF('Input Enrollment'!E23=0," ","Alternative Secondary High School")</f>
        <v xml:space="preserve"> </v>
      </c>
      <c r="C32" s="104"/>
      <c r="D32" s="104"/>
      <c r="E32" s="104"/>
      <c r="F32" s="104"/>
      <c r="G32" s="104"/>
      <c r="H32" s="5"/>
      <c r="I32" s="5"/>
      <c r="J32" s="102">
        <f>'Input Enrollment'!E23</f>
        <v>0</v>
      </c>
      <c r="K32" s="102"/>
      <c r="L32" s="17" t="s">
        <v>51</v>
      </c>
      <c r="M32" s="13">
        <f>IF(J32=0,0,IF(Q32&lt;1,M18,12))</f>
        <v>0</v>
      </c>
      <c r="N32" s="15" t="s">
        <v>15</v>
      </c>
      <c r="O32" s="28">
        <f>ROUND(IF(J32=0,0,J32/M32),2)</f>
        <v>0</v>
      </c>
      <c r="P32" s="7"/>
      <c r="Q32" s="36">
        <f>ROUND(IF(J32=0,0,J32/12),2)</f>
        <v>0</v>
      </c>
    </row>
    <row r="33" spans="1:17" ht="11.25" customHeight="1" x14ac:dyDescent="0.2">
      <c r="J33" s="26"/>
      <c r="K33" s="26"/>
      <c r="O33" s="26"/>
    </row>
    <row r="34" spans="1:17" ht="11.25" customHeight="1" x14ac:dyDescent="0.25">
      <c r="B34" s="104" t="str">
        <f>IF('Input Enrollment'!E25=0," ","Summer Alternative Secondary High School")</f>
        <v xml:space="preserve"> </v>
      </c>
      <c r="C34" s="104"/>
      <c r="D34" s="104"/>
      <c r="E34" s="104"/>
      <c r="F34" s="104"/>
      <c r="G34" s="104"/>
      <c r="J34" s="102">
        <f>'Input Enrollment'!E25</f>
        <v>0</v>
      </c>
      <c r="K34" s="102"/>
      <c r="L34" s="17" t="s">
        <v>51</v>
      </c>
      <c r="M34" s="13">
        <f>IF(J34=0,0,40)</f>
        <v>0</v>
      </c>
      <c r="N34" s="15" t="s">
        <v>15</v>
      </c>
      <c r="O34" s="28">
        <f>ROUND(IF(J34=0,0,J34/M34),2)</f>
        <v>0</v>
      </c>
      <c r="P34" s="7"/>
      <c r="Q34" s="36">
        <f>ROUND(IF(J34=0,0,J34/12),2)</f>
        <v>0</v>
      </c>
    </row>
    <row r="35" spans="1:17" ht="13.5" customHeight="1" x14ac:dyDescent="0.25">
      <c r="J35" s="16"/>
      <c r="K35" s="16"/>
      <c r="L35" s="17"/>
      <c r="M35" s="16"/>
      <c r="N35" s="15"/>
      <c r="O35" s="16"/>
      <c r="P35" s="1"/>
    </row>
    <row r="36" spans="1:17" ht="18.75" customHeight="1" thickBot="1" x14ac:dyDescent="0.25">
      <c r="A36" s="7"/>
      <c r="B36" s="12" t="s">
        <v>100</v>
      </c>
      <c r="C36" s="1"/>
      <c r="D36" s="1"/>
      <c r="E36" s="1"/>
      <c r="F36" s="1"/>
      <c r="G36" s="1"/>
      <c r="H36" s="1"/>
      <c r="I36" s="1"/>
      <c r="J36" s="1"/>
      <c r="K36" s="1"/>
      <c r="M36" s="18" t="s">
        <v>15</v>
      </c>
      <c r="N36" s="108">
        <f>ROUND(IF(SUM(O7:O34)=0,0,SUM(O7:O34)),2)</f>
        <v>0</v>
      </c>
      <c r="O36" s="108"/>
    </row>
    <row r="37" spans="1:17" ht="13.5" thickTop="1" x14ac:dyDescent="0.2"/>
  </sheetData>
  <sheetProtection algorithmName="SHA-512" hashValue="cvmmBktiRElyiYgVvJxdWFoyclYq4/iALpfaXdf9H7WcrqU9duiwov4Nb7Q6ja28Sdzyw6Kqvn/gNuN/Y2r/rg==" saltValue="s0gMGQWA5PED3pgw6mioGw==" spinCount="100000" sheet="1" objects="1" scenarios="1"/>
  <mergeCells count="17">
    <mergeCell ref="N36:O36"/>
    <mergeCell ref="J22:K22"/>
    <mergeCell ref="J24:K24"/>
    <mergeCell ref="J26:K26"/>
    <mergeCell ref="A2:O2"/>
    <mergeCell ref="A3:O3"/>
    <mergeCell ref="J13:K13"/>
    <mergeCell ref="J16:K16"/>
    <mergeCell ref="J5:K5"/>
    <mergeCell ref="J11:K11"/>
    <mergeCell ref="J7:K7"/>
    <mergeCell ref="J18:K18"/>
    <mergeCell ref="J29:K29"/>
    <mergeCell ref="B34:G34"/>
    <mergeCell ref="J34:K34"/>
    <mergeCell ref="B32:G32"/>
    <mergeCell ref="J32:K32"/>
  </mergeCells>
  <phoneticPr fontId="0" type="noConversion"/>
  <pageMargins left="0.5" right="0.5" top="0.5" bottom="0.5" header="0.25" footer="0.25"/>
  <pageSetup scale="81" orientation="portrait" r:id="rId1"/>
  <headerFooter alignWithMargins="0">
    <oddFooter>&amp;L&amp;F</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7"/>
  <sheetViews>
    <sheetView showGridLines="0" zoomScale="90" zoomScaleNormal="100" workbookViewId="0">
      <selection activeCell="H9" sqref="H9"/>
    </sheetView>
  </sheetViews>
  <sheetFormatPr defaultRowHeight="12.75" x14ac:dyDescent="0.2"/>
  <cols>
    <col min="1" max="1" width="4.140625" style="3" customWidth="1"/>
    <col min="2" max="2" width="2.5703125" customWidth="1"/>
    <col min="7" max="7" width="4.5703125" customWidth="1"/>
    <col min="8" max="8" width="10.140625" customWidth="1"/>
    <col min="9" max="9" width="3.140625" customWidth="1"/>
    <col min="11" max="11" width="6.28515625" customWidth="1"/>
    <col min="12" max="12" width="3.85546875" customWidth="1"/>
    <col min="13" max="13" width="10.7109375" customWidth="1"/>
    <col min="14" max="14" width="4.140625" customWidth="1"/>
    <col min="15" max="15" width="12.28515625" customWidth="1"/>
    <col min="16" max="16" width="10.28515625" customWidth="1"/>
    <col min="17" max="17" width="9.140625" style="36" customWidth="1"/>
  </cols>
  <sheetData>
    <row r="1" spans="1:18" ht="14.25" customHeight="1" x14ac:dyDescent="0.2">
      <c r="A1" s="105" t="s">
        <v>78</v>
      </c>
      <c r="B1" s="105"/>
      <c r="C1" s="105"/>
      <c r="D1" s="105"/>
      <c r="E1" s="105"/>
      <c r="F1" s="105"/>
      <c r="G1" s="105"/>
      <c r="H1" s="105"/>
      <c r="I1" s="105"/>
      <c r="J1" s="105"/>
      <c r="K1" s="105"/>
      <c r="L1" s="105"/>
      <c r="M1" s="105"/>
      <c r="N1" s="105"/>
      <c r="O1" s="105"/>
      <c r="P1" s="30"/>
      <c r="Q1" s="37"/>
      <c r="R1" s="30"/>
    </row>
    <row r="2" spans="1:18" ht="15.75" x14ac:dyDescent="0.2">
      <c r="A2" s="105" t="s">
        <v>102</v>
      </c>
      <c r="B2" s="105"/>
      <c r="C2" s="105"/>
      <c r="D2" s="105"/>
      <c r="E2" s="105"/>
      <c r="F2" s="105"/>
      <c r="G2" s="105"/>
      <c r="H2" s="105"/>
      <c r="I2" s="105"/>
      <c r="J2" s="105"/>
      <c r="K2" s="105"/>
      <c r="L2" s="105"/>
      <c r="M2" s="105"/>
      <c r="N2" s="105"/>
      <c r="O2" s="105"/>
      <c r="P2" s="30"/>
      <c r="Q2" s="37"/>
      <c r="R2" s="30"/>
    </row>
    <row r="3" spans="1:18" ht="15.75" x14ac:dyDescent="0.25">
      <c r="A3" s="110" t="s">
        <v>90</v>
      </c>
      <c r="B3" s="110"/>
      <c r="C3" s="110"/>
      <c r="D3" s="110"/>
      <c r="E3" s="110"/>
      <c r="F3" s="110"/>
      <c r="G3" s="110"/>
      <c r="H3" s="110"/>
      <c r="I3" s="110"/>
      <c r="J3" s="110"/>
      <c r="K3" s="110"/>
      <c r="L3" s="110"/>
      <c r="M3" s="110"/>
      <c r="N3" s="110"/>
      <c r="O3" s="110"/>
    </row>
    <row r="4" spans="1:18" ht="39" customHeight="1" x14ac:dyDescent="0.2">
      <c r="A4" s="14" t="s">
        <v>39</v>
      </c>
      <c r="F4" s="32" t="s">
        <v>79</v>
      </c>
      <c r="H4" s="33" t="s">
        <v>83</v>
      </c>
      <c r="I4" s="16"/>
      <c r="J4" s="106" t="s">
        <v>84</v>
      </c>
      <c r="K4" s="107"/>
      <c r="M4" s="19" t="s">
        <v>80</v>
      </c>
      <c r="O4" s="31" t="s">
        <v>81</v>
      </c>
    </row>
    <row r="5" spans="1:18" ht="6.75" customHeight="1" x14ac:dyDescent="0.2"/>
    <row r="6" spans="1:18" ht="15.75" x14ac:dyDescent="0.25">
      <c r="B6" s="11" t="s">
        <v>40</v>
      </c>
      <c r="F6" s="28" t="str">
        <f>IF('Input Enrollment'!$E$13=0,"0",'Input Enrollment'!$E$13)</f>
        <v>0</v>
      </c>
      <c r="J6" s="102" t="str">
        <f>IF('Input Enrollment'!E13=0,"0",'Input Enrollment'!E13)</f>
        <v>0</v>
      </c>
      <c r="K6" s="102"/>
      <c r="L6" s="17" t="s">
        <v>51</v>
      </c>
      <c r="M6" s="13">
        <f>IF('Input Enrollment'!E13=0,0,LOOKUP(J6,criteria!$A$3:$A$10,criteria!$B$3:$B$10))</f>
        <v>0</v>
      </c>
      <c r="N6" s="15" t="s">
        <v>15</v>
      </c>
      <c r="O6" s="28">
        <f>IF(Q6=0,0,IF(Q6&lt;LOOKUP(J6,criteria!$A$3:$A$10,criteria!$C$3:$C$10),LOOKUP(J6,criteria!$A$3:$A$10,criteria!$C$3:$C$10),IF(LOOKUP(J6,criteria!$A$3:$A$10,criteria!$C$3:$C$10)=0,0,Q6)))</f>
        <v>0</v>
      </c>
      <c r="P6" s="10" t="str">
        <f>IF('Input Enrollment'!E13=0," ",IF(O6=0,"ADD to 1-6",IF(O6=Q6," ","Minimum")))</f>
        <v xml:space="preserve"> </v>
      </c>
      <c r="Q6" s="36">
        <f>ROUND(IF('Input Enrollment'!E13=0,0,IF(M6=0,0,(J6/M6))),2)</f>
        <v>0</v>
      </c>
    </row>
    <row r="7" spans="1:18" ht="6.75" customHeight="1" x14ac:dyDescent="0.2">
      <c r="J7" s="26"/>
      <c r="K7" s="26"/>
    </row>
    <row r="8" spans="1:18" x14ac:dyDescent="0.2">
      <c r="B8" s="11" t="s">
        <v>41</v>
      </c>
      <c r="J8" s="26"/>
      <c r="K8" s="26"/>
    </row>
    <row r="9" spans="1:18" x14ac:dyDescent="0.2">
      <c r="B9" s="10" t="s">
        <v>82</v>
      </c>
      <c r="J9" s="26"/>
      <c r="K9" s="26"/>
    </row>
    <row r="10" spans="1:18" ht="16.5" customHeight="1" x14ac:dyDescent="0.25">
      <c r="C10" s="12" t="s">
        <v>42</v>
      </c>
      <c r="F10" s="13" t="str">
        <f>IF(J10=0," ",IF($J$15&gt;300," ",'Input Enrollment'!E16))</f>
        <v xml:space="preserve"> </v>
      </c>
      <c r="G10" s="24" t="s">
        <v>88</v>
      </c>
      <c r="H10" s="28" t="str">
        <f>IF(J10=0," ",'Exceptional Child Calc'!H25)</f>
        <v xml:space="preserve"> </v>
      </c>
      <c r="I10" s="15" t="s">
        <v>15</v>
      </c>
      <c r="J10" s="102">
        <f>IF('Input Enrollment'!E16=0,0,IF(SUM('Input Enrollment'!E16-'Exceptional Child Calc'!H25)+SUM('Input Enrollment'!E17-'Exceptional Child Calc'!H26)&gt;299.99,SUM('Input Enrollment'!E16-'Exceptional Child Calc'!H25),0))</f>
        <v>0</v>
      </c>
      <c r="K10" s="102"/>
      <c r="L10" s="17" t="s">
        <v>51</v>
      </c>
      <c r="M10" s="13">
        <f>IF(SUM('Input Enrollment'!$E$16-'Exceptional Child Calc'!$H$25)+SUM('Input Enrollment'!$E$17-'Exceptional Child Calc'!$H$26)&gt;299.99,20,0)</f>
        <v>0</v>
      </c>
      <c r="N10" s="15" t="s">
        <v>15</v>
      </c>
      <c r="O10" s="13">
        <f>ROUND(IF(SUM('Input Enrollment'!$E$16-'Exceptional Child Calc'!$H$25)+SUM('Input Enrollment'!$E$17-'Exceptional Child Calc'!$H$26)&lt;299.99,0,IF(Q10+Q12&lt;15,0,(J10/M10))),2)</f>
        <v>0</v>
      </c>
      <c r="P10" t="str">
        <f>IF(O10=0," ",IF(O10=Q10," ","Minimum"))</f>
        <v xml:space="preserve"> </v>
      </c>
      <c r="Q10" s="36">
        <f>ROUND(IF(SUM('Input Enrollment'!$E$16-'Exceptional Child Calc'!$H$25)+SUM('Input Enrollment'!$E$17-'Exceptional Child Calc'!$H$26)&lt;299.99,0,(J10/M10)),2)</f>
        <v>0</v>
      </c>
    </row>
    <row r="11" spans="1:18" ht="10.5" customHeight="1" x14ac:dyDescent="0.2">
      <c r="B11" s="12"/>
      <c r="J11" s="26"/>
      <c r="K11" s="26"/>
    </row>
    <row r="12" spans="1:18" ht="15.75" x14ac:dyDescent="0.25">
      <c r="C12" s="12" t="s">
        <v>43</v>
      </c>
      <c r="F12" s="13" t="str">
        <f>IF(J12=0," ",IF($J$15&gt;300," ",'Input Enrollment'!E17))</f>
        <v xml:space="preserve"> </v>
      </c>
      <c r="G12" s="24" t="s">
        <v>88</v>
      </c>
      <c r="H12" s="28" t="str">
        <f>IF(J12=0," ",'Exceptional Child Calc'!H26)</f>
        <v xml:space="preserve"> </v>
      </c>
      <c r="I12" s="15" t="s">
        <v>15</v>
      </c>
      <c r="J12" s="102">
        <f>IF('Input Enrollment'!E17=0,0,IF(SUM('Input Enrollment'!E16-'Exceptional Child Calc'!H25)+SUM('Input Enrollment'!E17-'Exceptional Child Calc'!H26)&gt;299.99,SUM('Input Enrollment'!E17-'Exceptional Child Calc'!H26),0))</f>
        <v>0</v>
      </c>
      <c r="K12" s="102"/>
      <c r="L12" s="17" t="s">
        <v>51</v>
      </c>
      <c r="M12" s="13">
        <f>IF(SUM('Input Enrollment'!$E$16-'Exceptional Child Calc'!$H$25)+SUM('Input Enrollment'!$E$17-'Exceptional Child Calc'!$H$26)&gt;299.99,23,0)</f>
        <v>0</v>
      </c>
      <c r="N12" s="15" t="s">
        <v>15</v>
      </c>
      <c r="O12" s="13">
        <f>ROUND(IF(SUM('Input Enrollment'!$E$16-'Exceptional Child Calc'!$H$25)+SUM('Input Enrollment'!$E$17-'Exceptional Child Calc'!$H$26)&lt;299.99,0,IF(Q10+Q12&lt;15,0,($J$12/$M$12))),2)</f>
        <v>0</v>
      </c>
      <c r="P12" t="str">
        <f>IF(O12=0," ",IF(O12=Q12," ","Minimum"))</f>
        <v xml:space="preserve"> </v>
      </c>
      <c r="Q12" s="36">
        <f>ROUND(IF(SUM('Input Enrollment'!$E$16-'Exceptional Child Calc'!$H$25)+SUM('Input Enrollment'!$E$17-'Exceptional Child Calc'!$H$26)&lt;299.99,0,($J$12/$M$12)),2)</f>
        <v>0</v>
      </c>
    </row>
    <row r="13" spans="1:18" x14ac:dyDescent="0.2">
      <c r="O13" s="18" t="str">
        <f>IF(P13="Minimum",15," ")</f>
        <v xml:space="preserve"> </v>
      </c>
      <c r="P13" t="str">
        <f>IF(Q10+Q12=0," ",IF(Q10+Q12&lt;15,"Minimum"," "))</f>
        <v xml:space="preserve"> </v>
      </c>
    </row>
    <row r="14" spans="1:18" x14ac:dyDescent="0.2">
      <c r="B14" s="11" t="s">
        <v>41</v>
      </c>
    </row>
    <row r="15" spans="1:18" x14ac:dyDescent="0.2">
      <c r="B15" s="10" t="s">
        <v>92</v>
      </c>
    </row>
    <row r="16" spans="1:18" ht="15.75" x14ac:dyDescent="0.25">
      <c r="C16" s="12" t="s">
        <v>44</v>
      </c>
      <c r="F16" s="13" t="str">
        <f>IF(J16=0," ",IF(J16&lt;300,SUM('Input Enrollment'!E16+'Input Enrollment'!E17)," "))</f>
        <v xml:space="preserve"> </v>
      </c>
      <c r="G16" s="24" t="s">
        <v>88</v>
      </c>
      <c r="H16" s="28" t="str">
        <f>IF(J16=0," ",'Exceptional Child Calc'!H22)</f>
        <v xml:space="preserve"> </v>
      </c>
      <c r="I16" s="15" t="s">
        <v>15</v>
      </c>
      <c r="J16" s="102">
        <f>IF('Input Enrollment'!E18=0,0,IF(SUM('Input Enrollment'!E16-'Exceptional Child Calc'!H25)+SUM('Input Enrollment'!E17-'Exceptional Child Calc'!H26)&lt;300,IF(P6="ADD to 1-6",SUM('Input Enrollment'!E16-'Exceptional Child Calc'!H25)+SUM('Input Enrollment'!E17-'Exceptional Child Calc'!H26)+'Input Enrollment'!E13,SUM('Input Enrollment'!E16-'Exceptional Child Calc'!H25)+SUM('Input Enrollment'!E17-'Exceptional Child Calc'!H26)),0))</f>
        <v>0</v>
      </c>
      <c r="K16" s="102"/>
      <c r="L16" s="17" t="s">
        <v>51</v>
      </c>
      <c r="M16" s="13">
        <f>IF(J16=0,0,LOOKUP(J16,criteria!$M$3:$M$11,criteria!$N$3:$N$11))</f>
        <v>0</v>
      </c>
      <c r="N16" s="15" t="s">
        <v>15</v>
      </c>
      <c r="O16" s="28">
        <f>IF(Q16=0,0,IF(Q16&lt;LOOKUP(J16,criteria!$M$3:$M$10,criteria!$O$3:$O$10),LOOKUP(J16,criteria!$M$3:$M$10,criteria!$O$3:$O$10),Q16))</f>
        <v>0</v>
      </c>
      <c r="P16" t="str">
        <f>IF(O16=0," ",IF(O16=Q16," ","Minimum"))</f>
        <v xml:space="preserve"> </v>
      </c>
      <c r="Q16" s="36">
        <f>ROUND(IF('Input Enrollment'!E18=0,0,IF(SUM('Input Enrollment'!$E$16-'Exceptional Child Calc'!$H$25)+SUM('Input Enrollment'!$E$17-'Exceptional Child Calc'!$H$26)&gt;299.99,0,(J16/M16))),2)</f>
        <v>0</v>
      </c>
    </row>
    <row r="17" spans="1:17" ht="6" customHeight="1" x14ac:dyDescent="0.2">
      <c r="J17" s="26"/>
      <c r="K17" s="26"/>
    </row>
    <row r="18" spans="1:17" ht="15.75" x14ac:dyDescent="0.25">
      <c r="B18" s="11" t="s">
        <v>45</v>
      </c>
      <c r="F18" s="28">
        <f>IF('Input Enrollment'!$E$19=0,0,'Input Enrollment'!$E$19)</f>
        <v>0</v>
      </c>
      <c r="G18" s="24" t="s">
        <v>88</v>
      </c>
      <c r="H18" s="34"/>
      <c r="I18" s="15" t="s">
        <v>15</v>
      </c>
      <c r="J18" s="102">
        <f>IF('Input Enrollment'!$E$19=0,0,'Input Enrollment'!$E$19)</f>
        <v>0</v>
      </c>
      <c r="K18" s="102"/>
      <c r="L18" s="17" t="s">
        <v>51</v>
      </c>
      <c r="M18" s="13">
        <f>IF('Input Enrollment'!C19=0,0,IF(J18&gt;99.99,LOOKUP(J18,criteria!Q3:Q10,criteria!R3:R10),12))</f>
        <v>0</v>
      </c>
      <c r="N18" s="15" t="s">
        <v>15</v>
      </c>
      <c r="O18" s="13">
        <f>ROUND(IF(J18=0,0,IF(J18&lt;99.99,IF(M18=0,8,(J18/M18)),IF(Q18&lt;LOOKUP(J18,criteria!$Q$3:$Q$10,criteria!$S$3:$S$10),LOOKUP(J18,criteria!$Q$3:$Q$10,criteria!$S$3:$S$10),Q18))),2)</f>
        <v>0</v>
      </c>
      <c r="P18" t="str">
        <f>IF(O18=0," ",IF(O18=Q18," ","Minimum"))</f>
        <v xml:space="preserve"> </v>
      </c>
      <c r="Q18" s="36">
        <f>ROUND(IF(M18=0,0,(J18/M18)),2)</f>
        <v>0</v>
      </c>
    </row>
    <row r="19" spans="1:17" x14ac:dyDescent="0.2">
      <c r="B19" s="11"/>
      <c r="J19" s="27"/>
      <c r="K19" s="27"/>
      <c r="M19" s="16"/>
      <c r="N19" s="15"/>
      <c r="O19" s="16"/>
    </row>
    <row r="20" spans="1:17" ht="15" x14ac:dyDescent="0.2">
      <c r="A20" s="7" t="s">
        <v>70</v>
      </c>
      <c r="J20" s="26"/>
      <c r="K20" s="26"/>
    </row>
    <row r="21" spans="1:17" ht="3.75" customHeight="1" x14ac:dyDescent="0.2">
      <c r="J21" s="26"/>
      <c r="K21" s="26"/>
    </row>
    <row r="22" spans="1:17" x14ac:dyDescent="0.2">
      <c r="B22" t="s">
        <v>85</v>
      </c>
      <c r="J22" s="102" t="str">
        <f>IF('Exceptional Child Calc'!H55=0," ",'Exceptional Child Calc'!H55)</f>
        <v xml:space="preserve"> </v>
      </c>
      <c r="K22" s="102"/>
    </row>
    <row r="23" spans="1:17" ht="7.5" customHeight="1" x14ac:dyDescent="0.2">
      <c r="J23" s="26"/>
      <c r="K23" s="26"/>
    </row>
    <row r="24" spans="1:17" x14ac:dyDescent="0.2">
      <c r="B24" t="s">
        <v>86</v>
      </c>
      <c r="J24" s="102" t="str">
        <f>IF('Exceptional Child Calc'!H22=0," ",'Exceptional Child Calc'!H22)</f>
        <v xml:space="preserve"> </v>
      </c>
      <c r="K24" s="102"/>
    </row>
    <row r="25" spans="1:17" ht="7.5" customHeight="1" x14ac:dyDescent="0.2">
      <c r="J25" s="26"/>
      <c r="K25" s="26"/>
    </row>
    <row r="26" spans="1:17" x14ac:dyDescent="0.2">
      <c r="B26" t="s">
        <v>87</v>
      </c>
      <c r="J26" s="102">
        <f>0</f>
        <v>0</v>
      </c>
      <c r="K26" s="102"/>
    </row>
    <row r="27" spans="1:17" ht="7.5" customHeight="1" x14ac:dyDescent="0.2">
      <c r="J27" s="26"/>
      <c r="K27" s="26"/>
    </row>
    <row r="28" spans="1:17" ht="6" customHeight="1" x14ac:dyDescent="0.2">
      <c r="J28" s="27"/>
      <c r="K28" s="27"/>
    </row>
    <row r="29" spans="1:17" ht="16.5" thickBot="1" x14ac:dyDescent="0.3">
      <c r="B29" s="1" t="s">
        <v>89</v>
      </c>
      <c r="J29" s="103">
        <f>SUM(J22:K27)</f>
        <v>0</v>
      </c>
      <c r="K29" s="103"/>
      <c r="L29" s="17" t="s">
        <v>51</v>
      </c>
      <c r="M29" s="13">
        <f>IF(SUM('Input Enrollment'!C13:C19)=0,0,IF(J29&gt;=14,LOOKUP(J29,criteria!$U$3:$U$10,criteria!$V$3:$V$10),0))</f>
        <v>0</v>
      </c>
      <c r="N29" s="15" t="s">
        <v>15</v>
      </c>
      <c r="O29" s="13">
        <f>IF(J29=0,0,IF(Q29&lt;LOOKUP(J29,criteria!$U$3:$U$10,criteria!$W$3:$W$10),LOOKUP(J29,criteria!$U$3:$U$10,criteria!$W$3:$W$10),Q29))</f>
        <v>0</v>
      </c>
      <c r="P29" t="str">
        <f>IF(O29=0," ",IF(O29=Q29," ","Minimum"))</f>
        <v xml:space="preserve"> </v>
      </c>
      <c r="Q29" s="36">
        <f>ROUND(IF(SUM('Input Enrollment'!C13:C19)=0,0,IF(M29=0,0,(J29/M29))),2)</f>
        <v>0</v>
      </c>
    </row>
    <row r="30" spans="1:17" ht="11.25" customHeight="1" thickTop="1" x14ac:dyDescent="0.25">
      <c r="B30" s="1"/>
      <c r="J30" s="27"/>
      <c r="K30" s="27"/>
      <c r="L30" s="17"/>
      <c r="M30" s="16"/>
      <c r="N30" s="15"/>
      <c r="O30" s="16"/>
    </row>
    <row r="31" spans="1:17" ht="19.5" customHeight="1" x14ac:dyDescent="0.25">
      <c r="A31" s="4" t="s">
        <v>101</v>
      </c>
    </row>
    <row r="32" spans="1:17" ht="15.75" x14ac:dyDescent="0.25">
      <c r="B32" s="104" t="str">
        <f>IF('Input Enrollment'!E23=0," ","Alternative Secondary High School")</f>
        <v xml:space="preserve"> </v>
      </c>
      <c r="C32" s="104"/>
      <c r="D32" s="104"/>
      <c r="E32" s="104"/>
      <c r="F32" s="104"/>
      <c r="G32" s="104"/>
      <c r="H32" s="104"/>
      <c r="I32" s="5"/>
      <c r="J32" s="102">
        <f>'Input Enrollment'!E23</f>
        <v>0</v>
      </c>
      <c r="K32" s="102"/>
      <c r="L32" s="17" t="s">
        <v>51</v>
      </c>
      <c r="M32" s="13">
        <f>IF(J32=0,0,IF(Q32&lt;1,M18,12))</f>
        <v>0</v>
      </c>
      <c r="N32" s="15" t="s">
        <v>15</v>
      </c>
      <c r="O32" s="28">
        <f>ROUND(IF(J32=0,0,J32/M32),2)</f>
        <v>0</v>
      </c>
      <c r="P32" s="7"/>
      <c r="Q32" s="36">
        <f>ROUND(IF(J32=0,0,J32/12),2)</f>
        <v>0</v>
      </c>
    </row>
    <row r="33" spans="1:17" ht="11.25" customHeight="1" x14ac:dyDescent="0.2">
      <c r="J33" s="26"/>
      <c r="K33" s="26"/>
      <c r="O33" s="26"/>
    </row>
    <row r="34" spans="1:17" ht="11.25" customHeight="1" x14ac:dyDescent="0.25">
      <c r="B34" s="104" t="str">
        <f>IF('Input Enrollment'!E25=0," ","Summer Alternative Secondary High School")</f>
        <v xml:space="preserve"> </v>
      </c>
      <c r="C34" s="104"/>
      <c r="D34" s="104"/>
      <c r="E34" s="104"/>
      <c r="F34" s="104"/>
      <c r="G34" s="104"/>
      <c r="J34" s="102">
        <f>'Input Enrollment'!E25</f>
        <v>0</v>
      </c>
      <c r="K34" s="102"/>
      <c r="L34" s="17" t="s">
        <v>51</v>
      </c>
      <c r="M34" s="13">
        <f>IF(J34=0,0,40)</f>
        <v>0</v>
      </c>
      <c r="N34" s="15" t="s">
        <v>15</v>
      </c>
      <c r="O34" s="28">
        <f>ROUND(IF(J34=0,0,J34/M34),2)</f>
        <v>0</v>
      </c>
      <c r="P34" s="7"/>
      <c r="Q34" s="36">
        <f>ROUND(IF(J34=0,0,J34/12),2)</f>
        <v>0</v>
      </c>
    </row>
    <row r="35" spans="1:17" ht="13.5" customHeight="1" x14ac:dyDescent="0.25">
      <c r="J35" s="16"/>
      <c r="K35" s="16"/>
      <c r="L35" s="17"/>
      <c r="M35" s="16"/>
      <c r="N35" s="15"/>
      <c r="O35" s="16"/>
      <c r="P35" s="1"/>
    </row>
    <row r="36" spans="1:17" ht="18.75" customHeight="1" thickBot="1" x14ac:dyDescent="0.25">
      <c r="A36" s="7"/>
      <c r="B36" s="12" t="s">
        <v>100</v>
      </c>
      <c r="C36" s="1"/>
      <c r="D36" s="1"/>
      <c r="E36" s="1"/>
      <c r="F36" s="1"/>
      <c r="G36" s="1"/>
      <c r="H36" s="1"/>
      <c r="I36" s="1"/>
      <c r="J36" s="1"/>
      <c r="K36" s="1"/>
      <c r="M36" s="18" t="s">
        <v>15</v>
      </c>
      <c r="N36" s="108">
        <f>ROUND(IF(SUM(O6:O34)=0,0,SUM(O6:O34)),2)</f>
        <v>0</v>
      </c>
      <c r="O36" s="108"/>
    </row>
    <row r="37" spans="1:17" ht="13.5" thickTop="1" x14ac:dyDescent="0.2">
      <c r="M37" s="109" t="str">
        <f>IF(N36=0," ",IF(N36&lt;'Midterm With'!N36,"Do Not Use","You May Use this Calculation"))</f>
        <v xml:space="preserve"> </v>
      </c>
      <c r="N37" s="109"/>
      <c r="O37" s="109"/>
      <c r="P37" s="109"/>
    </row>
  </sheetData>
  <sheetProtection algorithmName="SHA-512" hashValue="+1ZPLSm6TJGjfVPma0qXy/9t9h0sLxxgDEJOH2ZprsmuMM3xvGpGbi7JWExwSmz5QhuiBCuUSVXR55rupZXPrA==" saltValue="7P6OxFZ0xPWJRWbKhR7WKw==" spinCount="100000" sheet="1" objects="1" scenarios="1"/>
  <mergeCells count="19">
    <mergeCell ref="A1:O1"/>
    <mergeCell ref="A2:O2"/>
    <mergeCell ref="J29:K29"/>
    <mergeCell ref="N36:O36"/>
    <mergeCell ref="J22:K22"/>
    <mergeCell ref="J24:K24"/>
    <mergeCell ref="J26:K26"/>
    <mergeCell ref="J12:K12"/>
    <mergeCell ref="J16:K16"/>
    <mergeCell ref="B34:G34"/>
    <mergeCell ref="A3:O3"/>
    <mergeCell ref="M37:P37"/>
    <mergeCell ref="B32:H32"/>
    <mergeCell ref="J32:K32"/>
    <mergeCell ref="J18:K18"/>
    <mergeCell ref="J4:K4"/>
    <mergeCell ref="J10:K10"/>
    <mergeCell ref="J6:K6"/>
    <mergeCell ref="J34:K34"/>
  </mergeCells>
  <phoneticPr fontId="0" type="noConversion"/>
  <conditionalFormatting sqref="M37:P37">
    <cfRule type="cellIs" dxfId="3" priority="1" stopIfTrue="1" operator="equal">
      <formula>"Do Not Use"</formula>
    </cfRule>
    <cfRule type="cellIs" dxfId="2" priority="2" stopIfTrue="1" operator="equal">
      <formula>"You May Use this Calculation"</formula>
    </cfRule>
  </conditionalFormatting>
  <pageMargins left="0.5" right="0.5" top="0.5" bottom="0.5" header="0.25" footer="0.25"/>
  <pageSetup scale="82"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7"/>
  <sheetViews>
    <sheetView showGridLines="0" zoomScale="90" zoomScaleNormal="100" workbookViewId="0">
      <selection sqref="A1:O1"/>
    </sheetView>
  </sheetViews>
  <sheetFormatPr defaultRowHeight="12.75" x14ac:dyDescent="0.2"/>
  <cols>
    <col min="1" max="1" width="4.140625" style="3" customWidth="1"/>
    <col min="2" max="2" width="2.5703125" customWidth="1"/>
    <col min="5" max="5" width="7.140625" customWidth="1"/>
    <col min="6" max="6" width="8.28515625" customWidth="1"/>
    <col min="7"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9.140625" style="36" customWidth="1"/>
  </cols>
  <sheetData>
    <row r="1" spans="1:18" ht="15.75" x14ac:dyDescent="0.2">
      <c r="A1" s="105" t="s">
        <v>78</v>
      </c>
      <c r="B1" s="105"/>
      <c r="C1" s="105"/>
      <c r="D1" s="105"/>
      <c r="E1" s="105"/>
      <c r="F1" s="105"/>
      <c r="G1" s="105"/>
      <c r="H1" s="105"/>
      <c r="I1" s="105"/>
      <c r="J1" s="105"/>
      <c r="K1" s="105"/>
      <c r="L1" s="105"/>
      <c r="M1" s="105"/>
      <c r="N1" s="105"/>
      <c r="O1" s="105"/>
      <c r="P1" s="30"/>
      <c r="Q1" s="37"/>
      <c r="R1" s="30"/>
    </row>
    <row r="2" spans="1:18" ht="15.75" x14ac:dyDescent="0.2">
      <c r="A2" s="105" t="s">
        <v>72</v>
      </c>
      <c r="B2" s="105"/>
      <c r="C2" s="105"/>
      <c r="D2" s="105"/>
      <c r="E2" s="105"/>
      <c r="F2" s="105"/>
      <c r="G2" s="105"/>
      <c r="H2" s="105"/>
      <c r="I2" s="105"/>
      <c r="J2" s="105"/>
      <c r="K2" s="105"/>
      <c r="L2" s="105"/>
      <c r="M2" s="105"/>
      <c r="N2" s="105"/>
      <c r="O2" s="105"/>
    </row>
    <row r="3" spans="1:18" ht="9" customHeight="1" x14ac:dyDescent="0.2">
      <c r="A3" s="30"/>
      <c r="B3" s="30"/>
      <c r="C3" s="30"/>
      <c r="D3" s="30"/>
      <c r="E3" s="30"/>
      <c r="F3" s="30"/>
      <c r="G3" s="30"/>
      <c r="H3" s="30"/>
      <c r="I3" s="30"/>
      <c r="J3" s="30"/>
      <c r="K3" s="30"/>
      <c r="L3" s="30"/>
      <c r="M3" s="30"/>
      <c r="N3" s="30"/>
      <c r="O3" s="30"/>
    </row>
    <row r="4" spans="1:18" ht="7.5" customHeight="1" x14ac:dyDescent="0.2"/>
    <row r="5" spans="1:18" ht="39" customHeight="1" x14ac:dyDescent="0.2">
      <c r="A5" s="14" t="s">
        <v>39</v>
      </c>
      <c r="F5" s="32" t="s">
        <v>79</v>
      </c>
      <c r="H5" s="33" t="s">
        <v>83</v>
      </c>
      <c r="I5" s="16"/>
      <c r="J5" s="106" t="s">
        <v>84</v>
      </c>
      <c r="K5" s="107"/>
      <c r="M5" s="19" t="s">
        <v>80</v>
      </c>
      <c r="O5" s="31" t="s">
        <v>81</v>
      </c>
    </row>
    <row r="6" spans="1:18" ht="6.75" customHeight="1" x14ac:dyDescent="0.2"/>
    <row r="7" spans="1:18" ht="15.75" x14ac:dyDescent="0.25">
      <c r="B7" s="11" t="s">
        <v>40</v>
      </c>
      <c r="F7" s="28" t="str">
        <f>IF('Input Enrollment'!$G$13=0," ",'Input Enrollment'!$G$13)</f>
        <v xml:space="preserve"> </v>
      </c>
      <c r="G7" s="27"/>
      <c r="J7" s="102" t="str">
        <f>IF('Input Enrollment'!G13=0,"0",'Input Enrollment'!G13)</f>
        <v>0</v>
      </c>
      <c r="K7" s="102"/>
      <c r="L7" s="17" t="s">
        <v>51</v>
      </c>
      <c r="M7" s="13">
        <f>IF('Input Enrollment'!G13=0,0,LOOKUP(J7,criteria!$A$3:$A$10,criteria!$B$3:$B$10))</f>
        <v>0</v>
      </c>
      <c r="N7" s="15" t="s">
        <v>15</v>
      </c>
      <c r="O7" s="28">
        <f>IF(Q7=0,0,IF(Q7&lt;LOOKUP(J7,criteria!$A$3:$A$10,criteria!$C$3:$C$10),LOOKUP(J7,criteria!$A$3:$A$10,criteria!$C$3:$C$10),IF(LOOKUP(J7,criteria!$A$3:$A$10,criteria!$C$3:$C$10)=0,0,Q7)))</f>
        <v>0</v>
      </c>
      <c r="P7" s="10" t="str">
        <f>IF('Input Enrollment'!G13=0," ",IF(O7=0,"ADD to 1-6",IF(O7=Q7," ","Minimum")))</f>
        <v xml:space="preserve"> </v>
      </c>
      <c r="Q7" s="36">
        <f>ROUND(IF('Input Enrollment'!G13=0,0,IF(M7=0,0,(J7/M7))),2)</f>
        <v>0</v>
      </c>
    </row>
    <row r="8" spans="1:18" ht="6.75" customHeight="1" x14ac:dyDescent="0.2">
      <c r="J8" s="26"/>
      <c r="K8" s="26"/>
      <c r="O8" s="26"/>
    </row>
    <row r="9" spans="1:18" x14ac:dyDescent="0.2">
      <c r="B9" s="11" t="s">
        <v>41</v>
      </c>
      <c r="J9" s="26"/>
      <c r="K9" s="26"/>
      <c r="O9" s="26"/>
    </row>
    <row r="10" spans="1:18" x14ac:dyDescent="0.2">
      <c r="B10" s="10" t="s">
        <v>82</v>
      </c>
      <c r="J10" s="26"/>
      <c r="K10" s="26"/>
      <c r="O10" s="26"/>
    </row>
    <row r="11" spans="1:18" ht="16.5" customHeight="1" x14ac:dyDescent="0.25">
      <c r="C11" s="12" t="s">
        <v>42</v>
      </c>
      <c r="F11" s="13" t="str">
        <f>IF(J11=0," ",IF($J$16&gt;300," ",'Input Enrollment'!G16))</f>
        <v xml:space="preserve"> </v>
      </c>
      <c r="G11" s="24" t="s">
        <v>88</v>
      </c>
      <c r="H11" s="28" t="str">
        <f>IF(J11=0," ",'Exceptional Child Calc'!H25)</f>
        <v xml:space="preserve"> </v>
      </c>
      <c r="I11" s="15" t="s">
        <v>15</v>
      </c>
      <c r="J11" s="102">
        <f>IF('Input Enrollment'!G16=0,0,IF(SUM('Input Enrollment'!G16-'Exceptional Child Calc'!H25)+SUM('Input Enrollment'!G17-'Exceptional Child Calc'!H26)&gt;299.99,SUM('Input Enrollment'!G16-'Exceptional Child Calc'!H25),0))</f>
        <v>0</v>
      </c>
      <c r="K11" s="102"/>
      <c r="L11" s="17" t="s">
        <v>51</v>
      </c>
      <c r="M11" s="13">
        <f>IF(SUM('Input Enrollment'!$G$16-'Exceptional Child Calc'!$H$25)+SUM('Input Enrollment'!$G$17-'Exceptional Child Calc'!$H$26)&gt;299.99,20,0)</f>
        <v>0</v>
      </c>
      <c r="N11" s="15" t="s">
        <v>15</v>
      </c>
      <c r="O11" s="28">
        <f>ROUND(IF(SUM('Input Enrollment'!$G$16-'Exceptional Child Calc'!$H$25)+SUM('Input Enrollment'!$G$17-'Exceptional Child Calc'!$H$26)&lt;299.99,0,IF(Q11+Q13&lt;15,0,(J11/M11))),2)</f>
        <v>0</v>
      </c>
      <c r="P11" t="str">
        <f>IF(O11=0," ",IF(O11=Q11," ","Minimum"))</f>
        <v xml:space="preserve"> </v>
      </c>
      <c r="Q11" s="36">
        <f>ROUND(IF(SUM('Input Enrollment'!$G$16-'Exceptional Child Calc'!$H$25)+SUM('Input Enrollment'!$G$17-'Exceptional Child Calc'!$H$26)&lt;299.99,0,(J11/M11)),2)</f>
        <v>0</v>
      </c>
    </row>
    <row r="12" spans="1:18" ht="9" customHeight="1" x14ac:dyDescent="0.2">
      <c r="B12" s="12"/>
      <c r="J12" s="26"/>
      <c r="K12" s="26"/>
      <c r="O12" s="26"/>
    </row>
    <row r="13" spans="1:18" ht="15.75" x14ac:dyDescent="0.25">
      <c r="C13" s="12" t="s">
        <v>43</v>
      </c>
      <c r="F13" s="13" t="str">
        <f>IF(J13=0," ",IF($J$16&gt;300," ",'Input Enrollment'!G17))</f>
        <v xml:space="preserve"> </v>
      </c>
      <c r="G13" s="24" t="s">
        <v>88</v>
      </c>
      <c r="H13" s="28" t="str">
        <f>IF(J13=0," ",'Exceptional Child Calc'!H26)</f>
        <v xml:space="preserve"> </v>
      </c>
      <c r="I13" s="15" t="s">
        <v>15</v>
      </c>
      <c r="J13" s="102">
        <f>IF('Input Enrollment'!G17=0,0,IF(SUM('Input Enrollment'!G16-'Exceptional Child Calc'!H25)+SUM('Input Enrollment'!G17-'Exceptional Child Calc'!H26)&gt;299.99,SUM('Input Enrollment'!G17-'Exceptional Child Calc'!H26),0))</f>
        <v>0</v>
      </c>
      <c r="K13" s="102"/>
      <c r="L13" s="17" t="s">
        <v>51</v>
      </c>
      <c r="M13" s="13">
        <f>IF(SUM('Input Enrollment'!$G$16-'Exceptional Child Calc'!$H$25)+SUM('Input Enrollment'!$G$17-'Exceptional Child Calc'!$H$26)&gt;299.99,23,0)</f>
        <v>0</v>
      </c>
      <c r="N13" s="15" t="s">
        <v>15</v>
      </c>
      <c r="O13" s="28">
        <f>ROUND(IF(SUM('Input Enrollment'!$G$16-'Exceptional Child Calc'!$H$25)+SUM('Input Enrollment'!$G$17-'Exceptional Child Calc'!$H$26)&lt;299.99,0,IF(Q11+Q13&lt;15,0,($J$13/$M$13))),2)</f>
        <v>0</v>
      </c>
      <c r="P13" t="str">
        <f>IF(O13=0," ",IF(O13=Q13," ","Minimum"))</f>
        <v xml:space="preserve"> </v>
      </c>
      <c r="Q13" s="36">
        <f>ROUND(IF(SUM('Input Enrollment'!$G$16-'Exceptional Child Calc'!$H$25)+SUM('Input Enrollment'!$G$17-'Exceptional Child Calc'!$H$26)&lt;299.99,0,($J$13/$M$13)),2)</f>
        <v>0</v>
      </c>
    </row>
    <row r="14" spans="1:18" ht="15" x14ac:dyDescent="0.2">
      <c r="B14" s="11" t="s">
        <v>41</v>
      </c>
      <c r="F14" s="16"/>
      <c r="G14" s="24"/>
      <c r="H14" s="27"/>
      <c r="I14" s="15"/>
      <c r="O14" s="35" t="str">
        <f>IF(P14="Minimum",15," ")</f>
        <v xml:space="preserve"> </v>
      </c>
      <c r="P14" t="str">
        <f>IF(Q11+Q13=0," ",IF(Q11+Q13&lt;15,"Minimum"," "))</f>
        <v xml:space="preserve"> </v>
      </c>
    </row>
    <row r="15" spans="1:18" x14ac:dyDescent="0.2">
      <c r="B15" s="10" t="s">
        <v>92</v>
      </c>
      <c r="O15" s="26"/>
    </row>
    <row r="16" spans="1:18" ht="15.75" x14ac:dyDescent="0.25">
      <c r="C16" s="12" t="s">
        <v>44</v>
      </c>
      <c r="F16" s="13" t="str">
        <f>IF(J16=0," ",IF(J16&lt;300,SUM('Input Enrollment'!G16+'Input Enrollment'!G17)," "))</f>
        <v xml:space="preserve"> </v>
      </c>
      <c r="G16" s="24" t="s">
        <v>88</v>
      </c>
      <c r="H16" s="28" t="str">
        <f>IF(J16=0," ",'Exceptional Child Calc'!H22)</f>
        <v xml:space="preserve"> </v>
      </c>
      <c r="I16" s="15" t="s">
        <v>15</v>
      </c>
      <c r="J16" s="102">
        <f>IF('Input Enrollment'!G18=0,0,IF(SUM('Input Enrollment'!G16-'Exceptional Child Calc'!H25)+SUM('Input Enrollment'!G17-'Exceptional Child Calc'!H26)&lt;300,IF(P7="ADD to 1-6",SUM('Input Enrollment'!G16-'Exceptional Child Calc'!H25)+SUM('Input Enrollment'!G17-'Exceptional Child Calc'!H26)+'Input Enrollment'!G13,SUM('Input Enrollment'!G16-'Exceptional Child Calc'!H25)+SUM('Input Enrollment'!G17-'Exceptional Child Calc'!H26)),0))</f>
        <v>0</v>
      </c>
      <c r="K16" s="102"/>
      <c r="L16" s="17" t="s">
        <v>51</v>
      </c>
      <c r="M16" s="13">
        <f>IF(SUM('Input Enrollment'!$G$16-'Exceptional Child Calc'!$H$25)+SUM('Input Enrollment'!$G$17-'Exceptional Child Calc'!$H$26)&lt;299.99,LOOKUP(J16,criteria!$M$3:$M$11,criteria!$N$3:$N$11),0)</f>
        <v>0</v>
      </c>
      <c r="N16" s="15" t="s">
        <v>15</v>
      </c>
      <c r="O16" s="28">
        <f>IF(Q16=0,0,IF(Q16&lt;LOOKUP(J16,criteria!$M$3:$M$10,criteria!$O$3:$O$10),LOOKUP(J16,criteria!$M$3:$M$10,criteria!$O$3:$O$10),Q16))</f>
        <v>0</v>
      </c>
      <c r="P16" t="str">
        <f>IF(O16=0," ",IF(O16=Q16," ","Minimum"))</f>
        <v xml:space="preserve"> </v>
      </c>
      <c r="Q16" s="36">
        <f>ROUND(IF('Input Enrollment'!G18=0,0,IF(SUM('Input Enrollment'!$G$16-'Exceptional Child Calc'!$H$25)+SUM('Input Enrollment'!$G$17-'Exceptional Child Calc'!$H$26)&gt;299.99,0,(J16/M16))),2)</f>
        <v>0</v>
      </c>
    </row>
    <row r="17" spans="1:17" ht="6" customHeight="1" x14ac:dyDescent="0.2">
      <c r="J17" s="26"/>
      <c r="K17" s="26"/>
      <c r="O17" s="26"/>
    </row>
    <row r="18" spans="1:17" ht="15.75" x14ac:dyDescent="0.25">
      <c r="B18" s="11" t="s">
        <v>45</v>
      </c>
      <c r="F18" s="13" t="str">
        <f>IF(J18=0," ",'Input Enrollment'!G19)</f>
        <v xml:space="preserve"> </v>
      </c>
      <c r="G18" s="24" t="s">
        <v>88</v>
      </c>
      <c r="H18" s="28" t="str">
        <f>IF(J18=0," ",'Exceptional Child Calc'!$H$43)</f>
        <v xml:space="preserve"> </v>
      </c>
      <c r="I18" s="15" t="s">
        <v>15</v>
      </c>
      <c r="J18" s="102">
        <f>IF('Input Enrollment'!G19=0,0,SUM('Input Enrollment'!G19-'Exceptional Child Calc'!H43))</f>
        <v>0</v>
      </c>
      <c r="K18" s="102"/>
      <c r="L18" s="17" t="s">
        <v>51</v>
      </c>
      <c r="M18" s="13">
        <f>IF(J18=0,0,IF(J18&gt;99.99,LOOKUP(J18,criteria!Q3:Q10,criteria!R3:R10),12))</f>
        <v>0</v>
      </c>
      <c r="N18" s="15" t="s">
        <v>15</v>
      </c>
      <c r="O18" s="28">
        <f>ROUND(IF(J18=0,0,IF(J18&lt;99.99,IF(M18=0,8,(J18/M18)),IF(Q18&lt;LOOKUP(J18,criteria!$Q$3:$Q$10,criteria!$S$3:$S$10),LOOKUP(J18,criteria!$Q$3:$Q$10,criteria!$S$3:$S$10),Q18))),2)</f>
        <v>0</v>
      </c>
      <c r="P18" t="str">
        <f>IF(O18=0," ",IF(O18=Q18," ","Minimum"))</f>
        <v xml:space="preserve"> </v>
      </c>
      <c r="Q18" s="36">
        <f>ROUND(IF(M18=0,0,(J18/M18)),2)</f>
        <v>0</v>
      </c>
    </row>
    <row r="19" spans="1:17" x14ac:dyDescent="0.2">
      <c r="B19" s="11"/>
      <c r="J19" s="27"/>
      <c r="K19" s="27"/>
      <c r="M19" s="16"/>
      <c r="N19" s="15"/>
      <c r="O19" s="16"/>
    </row>
    <row r="20" spans="1:17" ht="15.75" x14ac:dyDescent="0.25">
      <c r="A20" s="4" t="s">
        <v>46</v>
      </c>
      <c r="J20" s="26"/>
      <c r="K20" s="26"/>
    </row>
    <row r="21" spans="1:17" ht="3.75" customHeight="1" x14ac:dyDescent="0.2">
      <c r="J21" s="26"/>
      <c r="K21" s="26"/>
    </row>
    <row r="22" spans="1:17" x14ac:dyDescent="0.2">
      <c r="B22" t="s">
        <v>47</v>
      </c>
      <c r="J22" s="102" t="str">
        <f>IF('Exceptional Child Calc'!H55=0," ",'Exceptional Child Calc'!H55)</f>
        <v xml:space="preserve"> </v>
      </c>
      <c r="K22" s="102"/>
    </row>
    <row r="23" spans="1:17" ht="6" customHeight="1" x14ac:dyDescent="0.2">
      <c r="J23" s="26"/>
      <c r="K23" s="26"/>
    </row>
    <row r="24" spans="1:17" x14ac:dyDescent="0.2">
      <c r="B24" t="s">
        <v>48</v>
      </c>
      <c r="J24" s="102" t="str">
        <f>IF('Exceptional Child Calc'!H22=0," ",'Exceptional Child Calc'!H22)</f>
        <v xml:space="preserve"> </v>
      </c>
      <c r="K24" s="102"/>
    </row>
    <row r="25" spans="1:17" ht="6" customHeight="1" x14ac:dyDescent="0.2">
      <c r="J25" s="26"/>
      <c r="K25" s="26"/>
    </row>
    <row r="26" spans="1:17" x14ac:dyDescent="0.2">
      <c r="B26" t="s">
        <v>49</v>
      </c>
      <c r="J26" s="102" t="str">
        <f>IF('Exceptional Child Calc'!H43=0," ",'Exceptional Child Calc'!H43)</f>
        <v xml:space="preserve"> </v>
      </c>
      <c r="K26" s="102"/>
    </row>
    <row r="27" spans="1:17" ht="6" customHeight="1" x14ac:dyDescent="0.2">
      <c r="J27" s="26"/>
      <c r="K27" s="26"/>
    </row>
    <row r="28" spans="1:17" ht="6" customHeight="1" x14ac:dyDescent="0.2">
      <c r="J28" s="27"/>
      <c r="K28" s="27"/>
    </row>
    <row r="29" spans="1:17" ht="13.5" customHeight="1" thickBot="1" x14ac:dyDescent="0.3">
      <c r="B29" s="1" t="s">
        <v>50</v>
      </c>
      <c r="J29" s="103">
        <f>SUM(J22:K27)</f>
        <v>0</v>
      </c>
      <c r="K29" s="103"/>
      <c r="L29" s="17" t="s">
        <v>51</v>
      </c>
      <c r="M29" s="13">
        <f>IF(SUM('Input Enrollment'!C13:C19)=0,0,IF(J29&gt;=14,LOOKUP(J29,criteria!$U$3:$U$10,criteria!$V$3:$V$10),0))</f>
        <v>0</v>
      </c>
      <c r="N29" s="15" t="s">
        <v>15</v>
      </c>
      <c r="O29" s="28">
        <f>IF(J29=0,0,IF(Q29&lt;LOOKUP(J29,criteria!$U$3:$U$10,criteria!$W$3:$W$10),LOOKUP(J29,criteria!$U$3:$U$10,criteria!$W$3:$W$10),Q29))</f>
        <v>0</v>
      </c>
      <c r="P29" t="str">
        <f>IF(O29=0," ",IF(O29=Q29," ","Minimum"))</f>
        <v xml:space="preserve"> </v>
      </c>
      <c r="Q29" s="36">
        <f>ROUND(IF(SUM('Input Enrollment'!C13:C19)=0,0,IF(M29=0,0,(J29/M29))),2)</f>
        <v>0</v>
      </c>
    </row>
    <row r="30" spans="1:17" ht="12" customHeight="1" thickTop="1" x14ac:dyDescent="0.2">
      <c r="B30" s="111"/>
      <c r="C30" s="111"/>
      <c r="D30" s="111"/>
      <c r="E30" s="111"/>
      <c r="F30" s="29"/>
      <c r="G30" s="29"/>
      <c r="H30" s="29"/>
      <c r="J30" s="12"/>
      <c r="N30" s="15"/>
      <c r="O30" s="27"/>
      <c r="P30" s="1"/>
    </row>
    <row r="31" spans="1:17" ht="19.5" customHeight="1" x14ac:dyDescent="0.25">
      <c r="A31" s="4" t="s">
        <v>101</v>
      </c>
      <c r="O31" s="26"/>
    </row>
    <row r="32" spans="1:17" ht="15.75" x14ac:dyDescent="0.25">
      <c r="B32" s="112" t="str">
        <f>IF('Input Enrollment'!E23=0," ","Alternative Secondary High School")</f>
        <v xml:space="preserve"> </v>
      </c>
      <c r="C32" s="112"/>
      <c r="D32" s="112"/>
      <c r="E32" s="112"/>
      <c r="F32" s="113"/>
      <c r="G32" s="5"/>
      <c r="H32" s="5"/>
      <c r="I32" s="5"/>
      <c r="J32" s="102">
        <f>'Input Enrollment'!G23</f>
        <v>0</v>
      </c>
      <c r="K32" s="102"/>
      <c r="L32" s="17" t="s">
        <v>51</v>
      </c>
      <c r="M32" s="13">
        <f>IF(J32=0,0,IF(Q32&lt;1,M18,12))</f>
        <v>0</v>
      </c>
      <c r="N32" s="15" t="s">
        <v>15</v>
      </c>
      <c r="O32" s="28">
        <f>ROUND(IF(J32=0,0,J32/M32),2)</f>
        <v>0</v>
      </c>
      <c r="P32" s="7"/>
      <c r="Q32" s="36">
        <f>ROUND(IF(J32=0,0,J32/12),2)</f>
        <v>0</v>
      </c>
    </row>
    <row r="33" spans="1:17" ht="11.25" customHeight="1" x14ac:dyDescent="0.2">
      <c r="J33" s="26"/>
      <c r="K33" s="26"/>
      <c r="O33" s="26"/>
    </row>
    <row r="34" spans="1:17" ht="11.25" customHeight="1" x14ac:dyDescent="0.25">
      <c r="B34" s="112" t="str">
        <f>IF('Input Enrollment'!E25=0," ","Summer Alternative Secondary High School")</f>
        <v xml:space="preserve"> </v>
      </c>
      <c r="C34" s="112"/>
      <c r="D34" s="112"/>
      <c r="E34" s="112"/>
      <c r="F34" s="113"/>
      <c r="G34" s="5"/>
      <c r="J34" s="102">
        <f>'Input Enrollment'!E25</f>
        <v>0</v>
      </c>
      <c r="K34" s="102"/>
      <c r="L34" s="17" t="s">
        <v>51</v>
      </c>
      <c r="M34" s="13">
        <f>IF(J34=0,0,40)</f>
        <v>0</v>
      </c>
      <c r="N34" s="15" t="s">
        <v>15</v>
      </c>
      <c r="O34" s="28">
        <f>ROUND(IF(J34=0,0,J34/M34),2)</f>
        <v>0</v>
      </c>
      <c r="P34" s="7"/>
      <c r="Q34" s="36">
        <f>ROUND(IF(J34=0,0,J34/12),2)</f>
        <v>0</v>
      </c>
    </row>
    <row r="35" spans="1:17" ht="13.5" customHeight="1" x14ac:dyDescent="0.25">
      <c r="J35" s="16"/>
      <c r="K35" s="16"/>
      <c r="L35" s="17"/>
      <c r="M35" s="16"/>
      <c r="N35" s="15"/>
      <c r="O35" s="16"/>
      <c r="P35" s="1"/>
    </row>
    <row r="36" spans="1:17" ht="18.75" customHeight="1" thickBot="1" x14ac:dyDescent="0.25">
      <c r="A36" s="7"/>
      <c r="B36" s="12" t="s">
        <v>100</v>
      </c>
      <c r="C36" s="1"/>
      <c r="D36" s="1"/>
      <c r="E36" s="1"/>
      <c r="F36" s="1"/>
      <c r="G36" s="1"/>
      <c r="H36" s="1"/>
      <c r="I36" s="1"/>
      <c r="J36" s="1"/>
      <c r="K36" s="1"/>
      <c r="M36" s="18"/>
      <c r="O36" s="41">
        <f>ROUND(IF(SUM(O7:O34)=0,0,SUM(O7:O34)),2)</f>
        <v>0</v>
      </c>
    </row>
    <row r="37" spans="1:17" ht="13.5" thickTop="1" x14ac:dyDescent="0.2"/>
  </sheetData>
  <sheetProtection algorithmName="SHA-512" hashValue="brewNFdCuyAPBzrVLkKJxpN4TM40S2m8asmE7pOeaOf54d60YHoqqe35w/ODbcPYQpOsveBKhMGm7VAhmM2FtQ==" saltValue="XXc0zKandu0YLoi645GhDw==" spinCount="100000" sheet="1" objects="1" scenarios="1"/>
  <mergeCells count="17">
    <mergeCell ref="B34:F34"/>
    <mergeCell ref="J34:K34"/>
    <mergeCell ref="J32:K32"/>
    <mergeCell ref="B32:F32"/>
    <mergeCell ref="A2:O2"/>
    <mergeCell ref="A1:O1"/>
    <mergeCell ref="J18:K18"/>
    <mergeCell ref="B30:E30"/>
    <mergeCell ref="J29:K29"/>
    <mergeCell ref="J22:K22"/>
    <mergeCell ref="J5:K5"/>
    <mergeCell ref="J11:K11"/>
    <mergeCell ref="J7:K7"/>
    <mergeCell ref="J24:K24"/>
    <mergeCell ref="J26:K26"/>
    <mergeCell ref="J13:K13"/>
    <mergeCell ref="J16:K16"/>
  </mergeCells>
  <phoneticPr fontId="0" type="noConversion"/>
  <pageMargins left="0.5" right="0.5" top="0.5" bottom="0.5" header="0.25" footer="0.25"/>
  <pageSetup scale="76" orientation="portrait" r:id="rId1"/>
  <headerFooter alignWithMargins="0">
    <oddFooter>&amp;L&amp;F</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7"/>
  <sheetViews>
    <sheetView showGridLines="0" zoomScale="90" zoomScaleNormal="100" workbookViewId="0">
      <selection sqref="A1:O1"/>
    </sheetView>
  </sheetViews>
  <sheetFormatPr defaultRowHeight="12.75" x14ac:dyDescent="0.2"/>
  <cols>
    <col min="1" max="1" width="4.140625" style="3" customWidth="1"/>
    <col min="2" max="2" width="2.5703125" customWidth="1"/>
    <col min="5" max="5" width="7.140625" customWidth="1"/>
    <col min="6" max="6" width="8.28515625" customWidth="1"/>
    <col min="7"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9.140625" style="36" customWidth="1"/>
  </cols>
  <sheetData>
    <row r="1" spans="1:18" ht="15.75" x14ac:dyDescent="0.2">
      <c r="A1" s="105" t="s">
        <v>78</v>
      </c>
      <c r="B1" s="105"/>
      <c r="C1" s="105"/>
      <c r="D1" s="105"/>
      <c r="E1" s="105"/>
      <c r="F1" s="105"/>
      <c r="G1" s="105"/>
      <c r="H1" s="105"/>
      <c r="I1" s="105"/>
      <c r="J1" s="105"/>
      <c r="K1" s="105"/>
      <c r="L1" s="105"/>
      <c r="M1" s="105"/>
      <c r="N1" s="105"/>
      <c r="O1" s="105"/>
      <c r="P1" s="30"/>
      <c r="Q1" s="37"/>
      <c r="R1" s="30"/>
    </row>
    <row r="2" spans="1:18" ht="15.75" x14ac:dyDescent="0.2">
      <c r="A2" s="105" t="s">
        <v>72</v>
      </c>
      <c r="B2" s="105"/>
      <c r="C2" s="105"/>
      <c r="D2" s="105"/>
      <c r="E2" s="105"/>
      <c r="F2" s="105"/>
      <c r="G2" s="105"/>
      <c r="H2" s="105"/>
      <c r="I2" s="105"/>
      <c r="J2" s="105"/>
      <c r="K2" s="105"/>
      <c r="L2" s="105"/>
      <c r="M2" s="105"/>
      <c r="N2" s="105"/>
      <c r="O2" s="105"/>
    </row>
    <row r="3" spans="1:18" ht="15" customHeight="1" x14ac:dyDescent="0.25">
      <c r="A3" s="110" t="s">
        <v>73</v>
      </c>
      <c r="B3" s="110"/>
      <c r="C3" s="110"/>
      <c r="D3" s="110"/>
      <c r="E3" s="110"/>
      <c r="F3" s="110"/>
      <c r="G3" s="110"/>
      <c r="H3" s="110"/>
      <c r="I3" s="110"/>
      <c r="J3" s="110"/>
      <c r="K3" s="110"/>
      <c r="L3" s="110"/>
      <c r="M3" s="110"/>
      <c r="N3" s="110"/>
      <c r="O3" s="110"/>
    </row>
    <row r="4" spans="1:18" ht="7.5" customHeight="1" x14ac:dyDescent="0.2"/>
    <row r="5" spans="1:18" ht="39" customHeight="1" x14ac:dyDescent="0.2">
      <c r="A5" s="14" t="s">
        <v>39</v>
      </c>
      <c r="F5" s="32" t="s">
        <v>79</v>
      </c>
      <c r="H5" s="33" t="s">
        <v>83</v>
      </c>
      <c r="I5" s="16"/>
      <c r="J5" s="106" t="s">
        <v>84</v>
      </c>
      <c r="K5" s="107"/>
      <c r="M5" s="19" t="s">
        <v>80</v>
      </c>
      <c r="O5" s="31" t="s">
        <v>81</v>
      </c>
    </row>
    <row r="6" spans="1:18" ht="6.75" customHeight="1" x14ac:dyDescent="0.2"/>
    <row r="7" spans="1:18" ht="15.75" x14ac:dyDescent="0.25">
      <c r="B7" s="11" t="s">
        <v>40</v>
      </c>
      <c r="F7" s="28" t="str">
        <f>IF('Input Enrollment'!$G$13=0," ",'Input Enrollment'!$G$13)</f>
        <v xml:space="preserve"> </v>
      </c>
      <c r="G7" s="27"/>
      <c r="J7" s="102" t="str">
        <f>IF('Input Enrollment'!G13=0,"0",'Input Enrollment'!G13)</f>
        <v>0</v>
      </c>
      <c r="K7" s="102"/>
      <c r="L7" s="17" t="s">
        <v>51</v>
      </c>
      <c r="M7" s="13">
        <f>IF('Input Enrollment'!G13=0,0,LOOKUP(J7,criteria!$A$3:$A$10,criteria!$B$3:$B$10))</f>
        <v>0</v>
      </c>
      <c r="N7" s="15" t="s">
        <v>15</v>
      </c>
      <c r="O7" s="28">
        <f>IF(Q7=0,0,IF(Q7&lt;LOOKUP(J7,criteria!$A$3:$A$10,criteria!$C$3:$C$10),LOOKUP(J7,criteria!$A$3:$A$10,criteria!$C$3:$C$10),IF(LOOKUP(J7,criteria!$A$3:$A$10,criteria!$C$3:$C$10)=0,0,Q7)))</f>
        <v>0</v>
      </c>
      <c r="P7" s="10" t="str">
        <f>IF('Input Enrollment'!G13=0," ",IF(O7=0,"ADD to 1-6",IF(O7=Q7," ","Minimum")))</f>
        <v xml:space="preserve"> </v>
      </c>
      <c r="Q7" s="36">
        <f>ROUND(IF('Input Enrollment'!G13=0,0,IF(M7=0,0,(J7/M7))),2)</f>
        <v>0</v>
      </c>
    </row>
    <row r="8" spans="1:18" ht="6.75" customHeight="1" x14ac:dyDescent="0.2">
      <c r="J8" s="26"/>
      <c r="K8" s="26"/>
      <c r="O8" s="26"/>
    </row>
    <row r="9" spans="1:18" x14ac:dyDescent="0.2">
      <c r="B9" s="11" t="s">
        <v>41</v>
      </c>
      <c r="J9" s="26"/>
      <c r="K9" s="26"/>
      <c r="O9" s="26"/>
    </row>
    <row r="10" spans="1:18" x14ac:dyDescent="0.2">
      <c r="B10" s="10" t="s">
        <v>82</v>
      </c>
      <c r="J10" s="26"/>
      <c r="K10" s="26"/>
      <c r="O10" s="26"/>
    </row>
    <row r="11" spans="1:18" ht="16.5" customHeight="1" x14ac:dyDescent="0.25">
      <c r="C11" s="12" t="s">
        <v>42</v>
      </c>
      <c r="F11" s="13" t="str">
        <f>IF(J11=0," ",IF($J$16&gt;300," ",'Input Enrollment'!G16))</f>
        <v xml:space="preserve"> </v>
      </c>
      <c r="G11" s="24" t="s">
        <v>88</v>
      </c>
      <c r="H11" s="28" t="str">
        <f>IF(J11=0," ",'Exceptional Child Calc'!H25)</f>
        <v xml:space="preserve"> </v>
      </c>
      <c r="I11" s="15" t="s">
        <v>15</v>
      </c>
      <c r="J11" s="102">
        <f>IF('Input Enrollment'!G16=0,0,IF(SUM('Input Enrollment'!G16-'Exceptional Child Calc'!H25)+SUM('Input Enrollment'!G17-'Exceptional Child Calc'!H26)&gt;299.99,SUM('Input Enrollment'!G16-'Exceptional Child Calc'!H25),0))</f>
        <v>0</v>
      </c>
      <c r="K11" s="102"/>
      <c r="L11" s="17" t="s">
        <v>51</v>
      </c>
      <c r="M11" s="13">
        <f>IF(SUM('Input Enrollment'!$G$16-'Exceptional Child Calc'!$H$25)+SUM('Input Enrollment'!$G$17-'Exceptional Child Calc'!$H$26)&gt;299.99,20,0)</f>
        <v>0</v>
      </c>
      <c r="N11" s="15" t="s">
        <v>15</v>
      </c>
      <c r="O11" s="28">
        <f>ROUND(IF(SUM('Input Enrollment'!$G$16-'Exceptional Child Calc'!$H$25)+SUM('Input Enrollment'!$G$17-'Exceptional Child Calc'!$H$26)&lt;299.99,0,IF(Q11+Q13&lt;15,0,(J11/M11))),2)</f>
        <v>0</v>
      </c>
      <c r="P11" t="str">
        <f>IF(O11=0," ",IF(O11=Q11," ","Minimum"))</f>
        <v xml:space="preserve"> </v>
      </c>
      <c r="Q11" s="36">
        <f>ROUND(IF(SUM('Input Enrollment'!$G$16-'Exceptional Child Calc'!$H$25)+SUM('Input Enrollment'!$G$17-'Exceptional Child Calc'!$H$26)&lt;299.99,0,(J11/M11)),2)</f>
        <v>0</v>
      </c>
    </row>
    <row r="12" spans="1:18" ht="9" customHeight="1" x14ac:dyDescent="0.2">
      <c r="B12" s="12"/>
      <c r="J12" s="26"/>
      <c r="K12" s="26"/>
      <c r="O12" s="26"/>
    </row>
    <row r="13" spans="1:18" ht="15.75" x14ac:dyDescent="0.25">
      <c r="C13" s="12" t="s">
        <v>43</v>
      </c>
      <c r="F13" s="13" t="str">
        <f>IF(J13=0," ",IF($J$16&gt;300," ",'Input Enrollment'!G17))</f>
        <v xml:space="preserve"> </v>
      </c>
      <c r="G13" s="24" t="s">
        <v>88</v>
      </c>
      <c r="H13" s="28" t="str">
        <f>IF(J13=0," ",'Exceptional Child Calc'!H26)</f>
        <v xml:space="preserve"> </v>
      </c>
      <c r="I13" s="15" t="s">
        <v>15</v>
      </c>
      <c r="J13" s="102">
        <f>IF('Input Enrollment'!G17=0,0,IF(SUM('Input Enrollment'!G16-'Exceptional Child Calc'!H25)+SUM('Input Enrollment'!G17-'Exceptional Child Calc'!H26)&gt;299.99,SUM('Input Enrollment'!G17-'Exceptional Child Calc'!H26),0))</f>
        <v>0</v>
      </c>
      <c r="K13" s="102"/>
      <c r="L13" s="17" t="s">
        <v>51</v>
      </c>
      <c r="M13" s="13">
        <f>IF(SUM('Input Enrollment'!$G$16-'Exceptional Child Calc'!$H$25)+SUM('Input Enrollment'!$G$17-'Exceptional Child Calc'!$H$26)&gt;299.99,23,0)</f>
        <v>0</v>
      </c>
      <c r="N13" s="15" t="s">
        <v>15</v>
      </c>
      <c r="O13" s="28">
        <f>ROUND(IF(SUM('Input Enrollment'!$G$16-'Exceptional Child Calc'!$H$25)+SUM('Input Enrollment'!$G$17-'Exceptional Child Calc'!$H$26)&lt;299.99,0,IF(Q11+Q13&lt;15,0,($J$13/$M$13))),2)</f>
        <v>0</v>
      </c>
      <c r="P13" t="str">
        <f>IF(O13=0," ",IF(O13=Q13," ","Minimum"))</f>
        <v xml:space="preserve"> </v>
      </c>
      <c r="Q13" s="36">
        <f>ROUND(IF(SUM('Input Enrollment'!$G$16-'Exceptional Child Calc'!$H$25)+SUM('Input Enrollment'!$G$17-'Exceptional Child Calc'!$H$26)&lt;299.99,0,($J$13/$M$13)),2)</f>
        <v>0</v>
      </c>
    </row>
    <row r="14" spans="1:18" ht="15" x14ac:dyDescent="0.2">
      <c r="B14" s="11" t="s">
        <v>41</v>
      </c>
      <c r="F14" s="16"/>
      <c r="G14" s="24"/>
      <c r="H14" s="27"/>
      <c r="I14" s="15"/>
      <c r="O14" s="35" t="str">
        <f>IF(P14="Minimum",15," ")</f>
        <v xml:space="preserve"> </v>
      </c>
      <c r="P14" t="str">
        <f>IF(Q11+Q13=0," ",IF(Q11+Q13&lt;15,"Minimum"," "))</f>
        <v xml:space="preserve"> </v>
      </c>
    </row>
    <row r="15" spans="1:18" x14ac:dyDescent="0.2">
      <c r="B15" s="10" t="s">
        <v>92</v>
      </c>
      <c r="O15" s="26"/>
    </row>
    <row r="16" spans="1:18" ht="15.75" x14ac:dyDescent="0.25">
      <c r="C16" s="12" t="s">
        <v>44</v>
      </c>
      <c r="F16" s="13" t="str">
        <f>IF(J16=0," ",IF(J16&lt;300,SUM('Input Enrollment'!G16+'Input Enrollment'!G17)," "))</f>
        <v xml:space="preserve"> </v>
      </c>
      <c r="G16" s="24" t="s">
        <v>88</v>
      </c>
      <c r="H16" s="28" t="str">
        <f>IF(J16=0," ",'Exceptional Child Calc'!H22)</f>
        <v xml:space="preserve"> </v>
      </c>
      <c r="I16" s="15" t="s">
        <v>15</v>
      </c>
      <c r="J16" s="102">
        <f>IF('Input Enrollment'!G18=0,0,IF(SUM('Input Enrollment'!G16-'Exceptional Child Calc'!H25)+SUM('Input Enrollment'!G17-'Exceptional Child Calc'!H26)&lt;300,IF(P7="ADD to 1-6",SUM('Input Enrollment'!G16-'Exceptional Child Calc'!H25)+SUM('Input Enrollment'!G17-'Exceptional Child Calc'!H26)+'Input Enrollment'!G13,SUM('Input Enrollment'!G16-'Exceptional Child Calc'!H25)+SUM('Input Enrollment'!G17-'Exceptional Child Calc'!H26)),0))</f>
        <v>0</v>
      </c>
      <c r="K16" s="102"/>
      <c r="L16" s="17" t="s">
        <v>51</v>
      </c>
      <c r="M16" s="13">
        <f>IF(SUM('Input Enrollment'!$G$16-'Exceptional Child Calc'!$H$25)+SUM('Input Enrollment'!$G$17-'Exceptional Child Calc'!$H$26)&lt;299.99,LOOKUP(J16,criteria!$M$3:$M$11,criteria!$N$3:$N$11),0)</f>
        <v>0</v>
      </c>
      <c r="N16" s="15" t="s">
        <v>15</v>
      </c>
      <c r="O16" s="28">
        <f>IF(Q16=0,0,IF(Q16&lt;LOOKUP(J16,criteria!$M$3:$M$10,criteria!$O$3:$O$10),LOOKUP(J16,criteria!$M$3:$M$10,criteria!$O$3:$O$10),Q16))</f>
        <v>0</v>
      </c>
      <c r="P16" t="str">
        <f>IF(O16=0," ",IF(O16=Q16," ","Minimum"))</f>
        <v xml:space="preserve"> </v>
      </c>
      <c r="Q16" s="36">
        <f>ROUND(IF('Input Enrollment'!G18=0,0,IF(SUM('Input Enrollment'!$G$16-'Exceptional Child Calc'!$H$25)+SUM('Input Enrollment'!$G$17-'Exceptional Child Calc'!$H$26)&gt;299.99,0,(J16/M16))),2)</f>
        <v>0</v>
      </c>
    </row>
    <row r="17" spans="1:17" ht="6" customHeight="1" x14ac:dyDescent="0.2">
      <c r="J17" s="26"/>
      <c r="K17" s="26"/>
      <c r="O17" s="26"/>
    </row>
    <row r="18" spans="1:17" ht="15.75" x14ac:dyDescent="0.25">
      <c r="B18" s="11" t="s">
        <v>45</v>
      </c>
      <c r="F18" s="13" t="str">
        <f>IF(J18=0," ",'Input Enrollment'!G19)</f>
        <v xml:space="preserve"> </v>
      </c>
      <c r="G18" s="24" t="s">
        <v>88</v>
      </c>
      <c r="H18" s="28"/>
      <c r="I18" s="15" t="s">
        <v>15</v>
      </c>
      <c r="J18" s="102">
        <f>IF('Input Enrollment'!G19=0,0,'Input Enrollment'!G19)</f>
        <v>0</v>
      </c>
      <c r="K18" s="102"/>
      <c r="L18" s="17" t="s">
        <v>51</v>
      </c>
      <c r="M18" s="13">
        <f>IF(J18=0,0,IF(J18&gt;99.99,LOOKUP(J18,criteria!Q3:Q10,criteria!R3:R10),12))</f>
        <v>0</v>
      </c>
      <c r="N18" s="15" t="s">
        <v>15</v>
      </c>
      <c r="O18" s="28">
        <f>ROUND(IF(J18=0,0,IF(J18&lt;99.99,IF(M18=0,8,(J18/M18)),IF(Q18&lt;LOOKUP(J18,criteria!$Q$3:$Q$10,criteria!$S$3:$S$10),LOOKUP(J18,criteria!$Q$3:$Q$10,criteria!$S$3:$S$10),Q18))),2)</f>
        <v>0</v>
      </c>
      <c r="P18" t="str">
        <f>IF(O18=0," ",IF(O18=Q18," ","Minimum"))</f>
        <v xml:space="preserve"> </v>
      </c>
      <c r="Q18" s="36">
        <f>ROUND(IF(M18=0,0,(J18/M18)),2)</f>
        <v>0</v>
      </c>
    </row>
    <row r="19" spans="1:17" x14ac:dyDescent="0.2">
      <c r="B19" s="11"/>
      <c r="J19" s="27"/>
      <c r="K19" s="27"/>
      <c r="M19" s="16"/>
      <c r="N19" s="15"/>
      <c r="O19" s="16"/>
    </row>
    <row r="20" spans="1:17" ht="15.75" x14ac:dyDescent="0.25">
      <c r="A20" s="4" t="s">
        <v>46</v>
      </c>
      <c r="J20" s="26"/>
      <c r="K20" s="26"/>
    </row>
    <row r="21" spans="1:17" ht="3.75" customHeight="1" x14ac:dyDescent="0.2">
      <c r="J21" s="26"/>
      <c r="K21" s="26"/>
    </row>
    <row r="22" spans="1:17" x14ac:dyDescent="0.2">
      <c r="B22" t="s">
        <v>47</v>
      </c>
      <c r="J22" s="102" t="str">
        <f>IF('Exceptional Child Calc'!H55=0," ",'Exceptional Child Calc'!H55)</f>
        <v xml:space="preserve"> </v>
      </c>
      <c r="K22" s="102"/>
    </row>
    <row r="23" spans="1:17" ht="6" customHeight="1" x14ac:dyDescent="0.2">
      <c r="J23" s="26"/>
      <c r="K23" s="26"/>
    </row>
    <row r="24" spans="1:17" x14ac:dyDescent="0.2">
      <c r="B24" t="s">
        <v>48</v>
      </c>
      <c r="J24" s="102" t="str">
        <f>IF('Exceptional Child Calc'!H22=0," ",'Exceptional Child Calc'!H22)</f>
        <v xml:space="preserve"> </v>
      </c>
      <c r="K24" s="102"/>
    </row>
    <row r="25" spans="1:17" ht="6" customHeight="1" x14ac:dyDescent="0.2">
      <c r="J25" s="26"/>
      <c r="K25" s="26"/>
    </row>
    <row r="26" spans="1:17" x14ac:dyDescent="0.2">
      <c r="B26" t="s">
        <v>49</v>
      </c>
      <c r="J26" s="102">
        <f>0</f>
        <v>0</v>
      </c>
      <c r="K26" s="102"/>
    </row>
    <row r="27" spans="1:17" ht="6" customHeight="1" x14ac:dyDescent="0.2">
      <c r="J27" s="26"/>
      <c r="K27" s="26"/>
    </row>
    <row r="28" spans="1:17" ht="6" customHeight="1" x14ac:dyDescent="0.2">
      <c r="J28" s="27"/>
      <c r="K28" s="27"/>
    </row>
    <row r="29" spans="1:17" ht="13.5" customHeight="1" thickBot="1" x14ac:dyDescent="0.3">
      <c r="B29" s="1" t="s">
        <v>50</v>
      </c>
      <c r="J29" s="103">
        <f>SUM(J22:K27)</f>
        <v>0</v>
      </c>
      <c r="K29" s="103"/>
      <c r="L29" s="17" t="s">
        <v>51</v>
      </c>
      <c r="M29" s="13">
        <f>IF(SUM('Input Enrollment'!C13:C19)=0,0,IF(J29&gt;=14,LOOKUP(J29,criteria!$U$3:$U$10,criteria!$V$3:$V$10),0))</f>
        <v>0</v>
      </c>
      <c r="N29" s="15" t="s">
        <v>15</v>
      </c>
      <c r="O29" s="28">
        <f>IF(J29=0,0,IF(Q29&lt;LOOKUP(J29,criteria!$U$3:$U$10,criteria!$W$3:$W$10),LOOKUP(J29,criteria!$U$3:$U$10,criteria!$W$3:$W$10),Q29))</f>
        <v>0</v>
      </c>
      <c r="P29" t="str">
        <f>IF(O29=0," ",IF(O29=Q29," ","Minimum"))</f>
        <v xml:space="preserve"> </v>
      </c>
      <c r="Q29" s="36">
        <f>ROUND(IF(SUM('Input Enrollment'!C13:C19)=0,0,IF(M29=0,0,(J29/M29))),2)</f>
        <v>0</v>
      </c>
    </row>
    <row r="30" spans="1:17" ht="12" customHeight="1" thickTop="1" x14ac:dyDescent="0.2">
      <c r="B30" s="111"/>
      <c r="C30" s="111"/>
      <c r="D30" s="111"/>
      <c r="E30" s="111"/>
      <c r="F30" s="29"/>
      <c r="G30" s="29"/>
      <c r="H30" s="29"/>
      <c r="J30" s="12"/>
      <c r="N30" s="15"/>
      <c r="O30" s="27"/>
      <c r="P30" s="1"/>
    </row>
    <row r="31" spans="1:17" ht="19.5" customHeight="1" x14ac:dyDescent="0.25">
      <c r="A31" s="4" t="s">
        <v>101</v>
      </c>
      <c r="O31" s="26"/>
    </row>
    <row r="32" spans="1:17" ht="15.75" x14ac:dyDescent="0.25">
      <c r="B32" s="112" t="str">
        <f>IF('Input Enrollment'!E23=0," ","Alternative Secondary High School")</f>
        <v xml:space="preserve"> </v>
      </c>
      <c r="C32" s="112"/>
      <c r="D32" s="112"/>
      <c r="E32" s="112"/>
      <c r="F32" s="113"/>
      <c r="G32" s="5"/>
      <c r="H32" s="5"/>
      <c r="I32" s="5"/>
      <c r="J32" s="102">
        <f>'Input Enrollment'!G23</f>
        <v>0</v>
      </c>
      <c r="K32" s="102"/>
      <c r="L32" s="17" t="s">
        <v>51</v>
      </c>
      <c r="M32" s="13">
        <f>IF(J32=0,0,IF(Q32&lt;1,M18,12))</f>
        <v>0</v>
      </c>
      <c r="N32" s="15" t="s">
        <v>15</v>
      </c>
      <c r="O32" s="28">
        <f>ROUND(IF(J32=0,0,J32/M32),2)</f>
        <v>0</v>
      </c>
      <c r="P32" s="7"/>
      <c r="Q32" s="36">
        <f>ROUND(IF(J32=0,0,J32/12),2)</f>
        <v>0</v>
      </c>
    </row>
    <row r="33" spans="1:17" ht="11.25" customHeight="1" x14ac:dyDescent="0.2">
      <c r="J33" s="26"/>
      <c r="K33" s="26"/>
      <c r="O33" s="26"/>
    </row>
    <row r="34" spans="1:17" ht="11.25" customHeight="1" x14ac:dyDescent="0.25">
      <c r="B34" s="112" t="str">
        <f>IF('Input Enrollment'!E25=0," ","Summer Alternative Secondary High School")</f>
        <v xml:space="preserve"> </v>
      </c>
      <c r="C34" s="112"/>
      <c r="D34" s="112"/>
      <c r="E34" s="112"/>
      <c r="F34" s="113"/>
      <c r="G34" s="5"/>
      <c r="J34" s="102">
        <f>'Input Enrollment'!E25</f>
        <v>0</v>
      </c>
      <c r="K34" s="102"/>
      <c r="L34" s="17" t="s">
        <v>51</v>
      </c>
      <c r="M34" s="13">
        <f>IF(J34=0,0,40)</f>
        <v>0</v>
      </c>
      <c r="N34" s="15" t="s">
        <v>15</v>
      </c>
      <c r="O34" s="28">
        <f>ROUND(IF(J34=0,0,J34/M34),2)</f>
        <v>0</v>
      </c>
      <c r="P34" s="7"/>
      <c r="Q34" s="36">
        <f>ROUND(IF(J34=0,0,J34/12),2)</f>
        <v>0</v>
      </c>
    </row>
    <row r="35" spans="1:17" ht="13.5" customHeight="1" x14ac:dyDescent="0.25">
      <c r="J35" s="16"/>
      <c r="K35" s="16"/>
      <c r="L35" s="17"/>
      <c r="M35" s="16"/>
      <c r="N35" s="15"/>
      <c r="O35" s="16"/>
      <c r="P35" s="1"/>
    </row>
    <row r="36" spans="1:17" ht="18.75" customHeight="1" thickBot="1" x14ac:dyDescent="0.25">
      <c r="A36" s="7"/>
      <c r="B36" s="12" t="s">
        <v>100</v>
      </c>
      <c r="C36" s="1"/>
      <c r="D36" s="1"/>
      <c r="E36" s="1"/>
      <c r="F36" s="1"/>
      <c r="G36" s="1"/>
      <c r="H36" s="1"/>
      <c r="I36" s="1"/>
      <c r="J36" s="1"/>
      <c r="K36" s="1"/>
      <c r="M36" s="18"/>
      <c r="O36" s="41">
        <f>ROUND(IF(SUM(O7:O34)=0,0,SUM(O7:O34)),2)</f>
        <v>0</v>
      </c>
    </row>
    <row r="37" spans="1:17" ht="13.5" thickTop="1" x14ac:dyDescent="0.2">
      <c r="M37" s="109" t="str">
        <f>IF(O36=0," ",IF(O36&lt;'Best 28 With'!O36,"Do Not Use","You May Use this Calculation"))</f>
        <v xml:space="preserve"> </v>
      </c>
      <c r="N37" s="109"/>
      <c r="O37" s="109"/>
      <c r="P37" s="109"/>
    </row>
  </sheetData>
  <sheetProtection algorithmName="SHA-512" hashValue="OtvPOyvmLPtSvDpJjStPQgAT4gNPF/mh5nzCeVnk151JQelWeqmuJtoThSynSHwCN3ME0XxxKUnH2lQs4A34/g==" saltValue="h181uFmxZok/oqnPzHkA4w==" spinCount="100000" sheet="1" objects="1" scenarios="1"/>
  <mergeCells count="19">
    <mergeCell ref="B30:E30"/>
    <mergeCell ref="M37:P37"/>
    <mergeCell ref="J29:K29"/>
    <mergeCell ref="J22:K22"/>
    <mergeCell ref="J24:K24"/>
    <mergeCell ref="J26:K26"/>
    <mergeCell ref="J32:K32"/>
    <mergeCell ref="B32:F32"/>
    <mergeCell ref="B34:F34"/>
    <mergeCell ref="J34:K34"/>
    <mergeCell ref="A3:O3"/>
    <mergeCell ref="A1:O1"/>
    <mergeCell ref="A2:O2"/>
    <mergeCell ref="J18:K18"/>
    <mergeCell ref="J13:K13"/>
    <mergeCell ref="J16:K16"/>
    <mergeCell ref="J5:K5"/>
    <mergeCell ref="J11:K11"/>
    <mergeCell ref="J7:K7"/>
  </mergeCells>
  <phoneticPr fontId="0" type="noConversion"/>
  <conditionalFormatting sqref="M37:P37">
    <cfRule type="cellIs" dxfId="1" priority="1" stopIfTrue="1" operator="equal">
      <formula>"Do Not Use"</formula>
    </cfRule>
    <cfRule type="cellIs" dxfId="0" priority="2" stopIfTrue="1" operator="equal">
      <formula>"You May Use this Calculation"</formula>
    </cfRule>
  </conditionalFormatting>
  <pageMargins left="0.5" right="0.5" top="0.5" bottom="0.5" header="0.25" footer="0.25"/>
  <pageSetup scale="76" orientation="portrait" r:id="rId1"/>
  <headerFooter alignWithMargins="0">
    <oddFooter>&amp;L&amp;F</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
  <sheetViews>
    <sheetView showGridLines="0" topLeftCell="A7" zoomScaleNormal="100" workbookViewId="0"/>
  </sheetViews>
  <sheetFormatPr defaultRowHeight="12.75" x14ac:dyDescent="0.2"/>
  <cols>
    <col min="1" max="1" width="6" style="3" customWidth="1"/>
    <col min="6" max="6" width="17.140625" customWidth="1"/>
    <col min="7" max="7" width="2.7109375" style="3" customWidth="1"/>
    <col min="10" max="10" width="6.5703125" customWidth="1"/>
    <col min="11" max="11" width="10.28515625" bestFit="1" customWidth="1"/>
  </cols>
  <sheetData>
    <row r="1" spans="1:11" ht="15.75" x14ac:dyDescent="0.25">
      <c r="I1" s="2"/>
      <c r="K1" s="2" t="s">
        <v>4</v>
      </c>
    </row>
    <row r="3" spans="1:11" ht="15.75" x14ac:dyDescent="0.2">
      <c r="A3" s="105" t="s">
        <v>95</v>
      </c>
      <c r="B3" s="105"/>
      <c r="C3" s="105"/>
      <c r="D3" s="105"/>
      <c r="E3" s="105"/>
      <c r="F3" s="105"/>
      <c r="G3" s="105"/>
      <c r="H3" s="105"/>
      <c r="I3" s="105"/>
      <c r="J3" s="113"/>
      <c r="K3" s="113"/>
    </row>
    <row r="5" spans="1:11" ht="15.75" x14ac:dyDescent="0.2">
      <c r="A5" s="105" t="s">
        <v>0</v>
      </c>
      <c r="B5" s="105"/>
      <c r="C5" s="105"/>
      <c r="D5" s="105"/>
      <c r="E5" s="105"/>
      <c r="F5" s="105"/>
      <c r="G5" s="105"/>
      <c r="H5" s="105"/>
      <c r="I5" s="105"/>
      <c r="J5" s="114"/>
      <c r="K5" s="113"/>
    </row>
    <row r="6" spans="1:11" x14ac:dyDescent="0.2">
      <c r="K6" t="s">
        <v>16</v>
      </c>
    </row>
    <row r="7" spans="1:11" x14ac:dyDescent="0.2">
      <c r="K7" t="s">
        <v>17</v>
      </c>
    </row>
    <row r="8" spans="1:11" ht="15.75" x14ac:dyDescent="0.25">
      <c r="A8" s="4" t="s">
        <v>1</v>
      </c>
    </row>
    <row r="9" spans="1:11" ht="8.25" customHeight="1" x14ac:dyDescent="0.25">
      <c r="A9" s="4"/>
    </row>
    <row r="10" spans="1:11" ht="15" x14ac:dyDescent="0.2">
      <c r="A10" s="7" t="s">
        <v>2</v>
      </c>
      <c r="B10" s="1" t="s">
        <v>96</v>
      </c>
      <c r="C10" s="1"/>
      <c r="D10" s="1"/>
      <c r="E10" s="1"/>
      <c r="F10" s="1"/>
      <c r="G10" s="7" t="s">
        <v>15</v>
      </c>
      <c r="H10" s="115">
        <f>IF('Input Enrollment'!C13+'Input Enrollment'!C16=0,0,SUM('Input Enrollment'!C13+'Input Enrollment'!C16))</f>
        <v>0</v>
      </c>
      <c r="I10" s="115"/>
      <c r="J10" s="8"/>
      <c r="K10" s="20">
        <f>IF(H10=0,0,(H10/($H$10+$H$13)))</f>
        <v>0</v>
      </c>
    </row>
    <row r="11" spans="1:11" ht="7.5" customHeight="1" x14ac:dyDescent="0.2">
      <c r="H11" s="21"/>
      <c r="I11" s="21"/>
    </row>
    <row r="12" spans="1:11" s="1" customFormat="1" ht="15" x14ac:dyDescent="0.2">
      <c r="A12" s="7" t="s">
        <v>3</v>
      </c>
      <c r="B12" s="1" t="s">
        <v>97</v>
      </c>
      <c r="G12" s="7"/>
      <c r="H12" s="22"/>
      <c r="I12" s="22"/>
    </row>
    <row r="13" spans="1:11" ht="15" x14ac:dyDescent="0.2">
      <c r="B13" s="10" t="s">
        <v>5</v>
      </c>
      <c r="G13" s="3" t="s">
        <v>15</v>
      </c>
      <c r="H13" s="115">
        <f>IF('Input Enrollment'!C17=0,0,SUM('Input Enrollment'!C17))</f>
        <v>0</v>
      </c>
      <c r="I13" s="115"/>
      <c r="J13" s="5"/>
      <c r="K13" s="20">
        <f>IF(H13=0,0,(H13/($H$10+$H$13)))</f>
        <v>0</v>
      </c>
    </row>
    <row r="14" spans="1:11" ht="6.75" customHeight="1" x14ac:dyDescent="0.2">
      <c r="H14" s="21"/>
      <c r="I14" s="21"/>
    </row>
    <row r="15" spans="1:11" s="1" customFormat="1" ht="15" x14ac:dyDescent="0.2">
      <c r="A15" s="7" t="s">
        <v>6</v>
      </c>
      <c r="B15" s="1" t="s">
        <v>7</v>
      </c>
      <c r="G15" s="7"/>
      <c r="H15" s="22"/>
      <c r="I15" s="22"/>
    </row>
    <row r="16" spans="1:11" s="1" customFormat="1" ht="15" x14ac:dyDescent="0.2">
      <c r="A16" s="7"/>
      <c r="B16" s="1" t="s">
        <v>8</v>
      </c>
      <c r="G16" s="7" t="s">
        <v>15</v>
      </c>
      <c r="H16" s="116">
        <f>IF('Input Enrollment'!C33=0,0,SUM('Input Enrollment'!C33))</f>
        <v>0</v>
      </c>
      <c r="I16" s="116"/>
      <c r="J16" s="8"/>
      <c r="K16" s="9"/>
    </row>
    <row r="17" spans="1:11" ht="6.75" customHeight="1" x14ac:dyDescent="0.2">
      <c r="H17" s="21"/>
      <c r="I17" s="21"/>
      <c r="K17" s="6"/>
    </row>
    <row r="18" spans="1:11" s="1" customFormat="1" ht="15" x14ac:dyDescent="0.2">
      <c r="A18" s="7" t="s">
        <v>9</v>
      </c>
      <c r="B18" s="1" t="s">
        <v>10</v>
      </c>
      <c r="G18" s="7" t="s">
        <v>15</v>
      </c>
      <c r="H18" s="115">
        <f>H10+H13-H16</f>
        <v>0</v>
      </c>
      <c r="I18" s="115"/>
      <c r="J18" s="8"/>
      <c r="K18" s="9"/>
    </row>
    <row r="19" spans="1:11" ht="6.75" customHeight="1" x14ac:dyDescent="0.2">
      <c r="H19" s="26"/>
      <c r="I19" s="26"/>
      <c r="K19" s="6"/>
    </row>
    <row r="20" spans="1:11" s="1" customFormat="1" ht="15" x14ac:dyDescent="0.2">
      <c r="A20" s="7" t="s">
        <v>11</v>
      </c>
      <c r="B20" s="1" t="s">
        <v>12</v>
      </c>
      <c r="G20" s="7" t="s">
        <v>15</v>
      </c>
      <c r="H20" s="115">
        <f>H18*0.06</f>
        <v>0</v>
      </c>
      <c r="I20" s="115"/>
      <c r="J20" s="8"/>
      <c r="K20" s="9"/>
    </row>
    <row r="21" spans="1:11" ht="6.75" customHeight="1" x14ac:dyDescent="0.2">
      <c r="H21" s="26"/>
      <c r="I21" s="26"/>
      <c r="K21" s="6"/>
    </row>
    <row r="22" spans="1:11" s="1" customFormat="1" ht="15" x14ac:dyDescent="0.2">
      <c r="A22" s="7" t="s">
        <v>13</v>
      </c>
      <c r="B22" s="1" t="s">
        <v>52</v>
      </c>
      <c r="G22" s="7" t="s">
        <v>15</v>
      </c>
      <c r="H22" s="115">
        <f>H16+H20</f>
        <v>0</v>
      </c>
      <c r="I22" s="115"/>
      <c r="J22" s="8"/>
      <c r="K22" s="9"/>
    </row>
    <row r="23" spans="1:11" s="1" customFormat="1" ht="15" x14ac:dyDescent="0.2">
      <c r="A23" s="7"/>
      <c r="B23" s="1" t="s">
        <v>14</v>
      </c>
      <c r="G23" s="7"/>
      <c r="H23" s="22"/>
      <c r="I23" s="22"/>
    </row>
    <row r="24" spans="1:11" s="1" customFormat="1" ht="15" x14ac:dyDescent="0.2">
      <c r="A24" s="7"/>
      <c r="G24" s="7"/>
      <c r="H24" s="22"/>
      <c r="I24" s="22"/>
    </row>
    <row r="25" spans="1:11" s="1" customFormat="1" ht="15" x14ac:dyDescent="0.2">
      <c r="A25" s="7" t="s">
        <v>63</v>
      </c>
      <c r="B25" s="23">
        <f>K10</f>
        <v>0</v>
      </c>
      <c r="C25" s="24" t="s">
        <v>61</v>
      </c>
      <c r="D25" s="25">
        <f>H22</f>
        <v>0</v>
      </c>
      <c r="E25" s="1" t="s">
        <v>62</v>
      </c>
      <c r="G25" s="7" t="s">
        <v>15</v>
      </c>
      <c r="H25" s="115">
        <f>ROUND(SUM(B25*D25),2)</f>
        <v>0</v>
      </c>
      <c r="I25" s="115"/>
    </row>
    <row r="26" spans="1:11" s="1" customFormat="1" ht="15" x14ac:dyDescent="0.2">
      <c r="A26" s="7" t="s">
        <v>64</v>
      </c>
      <c r="B26" s="23">
        <f>K13</f>
        <v>0</v>
      </c>
      <c r="C26" s="24" t="s">
        <v>61</v>
      </c>
      <c r="D26" s="25">
        <f>H22</f>
        <v>0</v>
      </c>
      <c r="E26" s="1" t="s">
        <v>60</v>
      </c>
      <c r="G26" s="7" t="s">
        <v>15</v>
      </c>
      <c r="H26" s="117">
        <f>ROUND(SUM(H22-H25),2)</f>
        <v>0</v>
      </c>
      <c r="I26" s="117"/>
    </row>
    <row r="27" spans="1:11" s="1" customFormat="1" ht="15" x14ac:dyDescent="0.2">
      <c r="A27" s="7"/>
      <c r="G27" s="7"/>
      <c r="H27" s="22"/>
      <c r="I27" s="22"/>
    </row>
    <row r="28" spans="1:11" ht="15.75" x14ac:dyDescent="0.25">
      <c r="A28" s="4" t="s">
        <v>18</v>
      </c>
      <c r="H28" s="21"/>
      <c r="I28" s="21"/>
    </row>
    <row r="29" spans="1:11" ht="6.75" customHeight="1" x14ac:dyDescent="0.2">
      <c r="H29" s="21"/>
      <c r="I29" s="21"/>
    </row>
    <row r="30" spans="1:11" s="1" customFormat="1" ht="15" x14ac:dyDescent="0.2">
      <c r="A30" s="7" t="s">
        <v>19</v>
      </c>
      <c r="B30" s="1" t="s">
        <v>98</v>
      </c>
      <c r="G30" s="7"/>
      <c r="H30" s="22"/>
      <c r="I30" s="22"/>
    </row>
    <row r="31" spans="1:11" s="1" customFormat="1" ht="15" x14ac:dyDescent="0.2">
      <c r="A31" s="7"/>
      <c r="B31" s="1" t="s">
        <v>20</v>
      </c>
      <c r="G31" s="7" t="s">
        <v>15</v>
      </c>
      <c r="H31" s="115">
        <f>IF('Input Enrollment'!$C$19=0,0,'Input Enrollment'!C19)</f>
        <v>0</v>
      </c>
      <c r="I31" s="115"/>
    </row>
    <row r="32" spans="1:11" s="1" customFormat="1" ht="15" x14ac:dyDescent="0.2">
      <c r="A32" s="7"/>
      <c r="B32" s="10" t="s">
        <v>21</v>
      </c>
      <c r="G32" s="7"/>
      <c r="H32" s="22"/>
      <c r="I32" s="22"/>
    </row>
    <row r="33" spans="1:9" s="1" customFormat="1" ht="15" x14ac:dyDescent="0.2">
      <c r="A33" s="7"/>
      <c r="B33" s="10" t="s">
        <v>22</v>
      </c>
      <c r="G33" s="7"/>
      <c r="H33" s="22"/>
      <c r="I33" s="22"/>
    </row>
    <row r="34" spans="1:9" ht="6.75" customHeight="1" x14ac:dyDescent="0.2">
      <c r="H34" s="21"/>
      <c r="I34" s="21"/>
    </row>
    <row r="35" spans="1:9" s="1" customFormat="1" ht="15" x14ac:dyDescent="0.2">
      <c r="A35" s="7" t="s">
        <v>23</v>
      </c>
      <c r="B35" s="1" t="s">
        <v>56</v>
      </c>
      <c r="G35" s="7"/>
      <c r="H35" s="22"/>
      <c r="I35" s="22"/>
    </row>
    <row r="36" spans="1:9" s="1" customFormat="1" ht="15" x14ac:dyDescent="0.2">
      <c r="A36" s="7"/>
      <c r="B36" s="1" t="s">
        <v>53</v>
      </c>
      <c r="G36" s="7"/>
      <c r="H36" s="22"/>
      <c r="I36" s="22"/>
    </row>
    <row r="37" spans="1:9" s="1" customFormat="1" ht="15" x14ac:dyDescent="0.2">
      <c r="A37" s="7"/>
      <c r="B37" s="10" t="s">
        <v>24</v>
      </c>
      <c r="G37" s="7" t="s">
        <v>15</v>
      </c>
      <c r="H37" s="115">
        <f>IF('Input Enrollment'!C34=0,0,SUM('Input Enrollment'!C34))</f>
        <v>0</v>
      </c>
      <c r="I37" s="115"/>
    </row>
    <row r="38" spans="1:9" ht="6.75" customHeight="1" x14ac:dyDescent="0.2">
      <c r="H38" s="26"/>
      <c r="I38" s="26"/>
    </row>
    <row r="39" spans="1:9" s="1" customFormat="1" ht="15" x14ac:dyDescent="0.2">
      <c r="A39" s="7" t="s">
        <v>25</v>
      </c>
      <c r="B39" s="1" t="s">
        <v>26</v>
      </c>
      <c r="G39" s="7" t="s">
        <v>15</v>
      </c>
      <c r="H39" s="115">
        <f>IF('Input Enrollment'!$C$19=0,0,SUM(H31-H37))</f>
        <v>0</v>
      </c>
      <c r="I39" s="115"/>
    </row>
    <row r="40" spans="1:9" ht="6.75" customHeight="1" x14ac:dyDescent="0.2">
      <c r="H40" s="26"/>
      <c r="I40" s="26"/>
    </row>
    <row r="41" spans="1:9" s="1" customFormat="1" ht="15" x14ac:dyDescent="0.2">
      <c r="A41" s="7" t="s">
        <v>27</v>
      </c>
      <c r="B41" s="1" t="s">
        <v>28</v>
      </c>
      <c r="G41" s="7" t="s">
        <v>15</v>
      </c>
      <c r="H41" s="115">
        <f>IF('Input Enrollment'!$C$19=0,0,H39*0.055)</f>
        <v>0</v>
      </c>
      <c r="I41" s="115"/>
    </row>
    <row r="42" spans="1:9" ht="6.75" customHeight="1" x14ac:dyDescent="0.2">
      <c r="H42" s="26"/>
      <c r="I42" s="26"/>
    </row>
    <row r="43" spans="1:9" s="1" customFormat="1" ht="15" x14ac:dyDescent="0.2">
      <c r="A43" s="7" t="s">
        <v>29</v>
      </c>
      <c r="B43" s="1" t="s">
        <v>30</v>
      </c>
      <c r="G43" s="7" t="s">
        <v>15</v>
      </c>
      <c r="H43" s="115">
        <f>ROUND(IF('Input Enrollment'!$C$19=0,0,SUM(H37+H41)),2)</f>
        <v>0</v>
      </c>
      <c r="I43" s="115"/>
    </row>
    <row r="44" spans="1:9" s="1" customFormat="1" ht="15" x14ac:dyDescent="0.2">
      <c r="A44" s="7"/>
      <c r="B44" s="1" t="s">
        <v>31</v>
      </c>
      <c r="G44" s="7"/>
    </row>
    <row r="46" spans="1:9" ht="15.75" x14ac:dyDescent="0.25">
      <c r="A46" s="4" t="s">
        <v>32</v>
      </c>
    </row>
    <row r="47" spans="1:9" ht="6.75" customHeight="1" x14ac:dyDescent="0.2"/>
    <row r="48" spans="1:9" s="1" customFormat="1" ht="15" x14ac:dyDescent="0.2">
      <c r="A48" s="7" t="s">
        <v>33</v>
      </c>
      <c r="B48" s="1" t="s">
        <v>99</v>
      </c>
      <c r="G48" s="7"/>
    </row>
    <row r="49" spans="1:9" s="1" customFormat="1" ht="15" x14ac:dyDescent="0.2">
      <c r="A49" s="7"/>
      <c r="B49" s="1" t="s">
        <v>54</v>
      </c>
      <c r="G49" s="7"/>
    </row>
    <row r="50" spans="1:9" s="1" customFormat="1" ht="15" x14ac:dyDescent="0.2">
      <c r="A50" s="7"/>
      <c r="B50" s="1" t="s">
        <v>91</v>
      </c>
      <c r="G50" s="7"/>
    </row>
    <row r="51" spans="1:9" s="1" customFormat="1" ht="15" x14ac:dyDescent="0.2">
      <c r="A51" s="7"/>
      <c r="B51" s="1" t="s">
        <v>55</v>
      </c>
      <c r="G51" s="7"/>
    </row>
    <row r="52" spans="1:9" s="1" customFormat="1" ht="15" x14ac:dyDescent="0.2">
      <c r="A52" s="7"/>
      <c r="B52" s="1" t="s">
        <v>34</v>
      </c>
      <c r="G52" s="7"/>
    </row>
    <row r="53" spans="1:9" s="1" customFormat="1" ht="15" x14ac:dyDescent="0.2">
      <c r="A53" s="7"/>
      <c r="B53" s="1" t="s">
        <v>35</v>
      </c>
      <c r="G53" s="7"/>
    </row>
    <row r="54" spans="1:9" ht="6.75" customHeight="1" x14ac:dyDescent="0.2"/>
    <row r="55" spans="1:9" s="1" customFormat="1" ht="15" x14ac:dyDescent="0.2">
      <c r="A55" s="7"/>
      <c r="B55" s="1" t="s">
        <v>36</v>
      </c>
      <c r="G55" s="7" t="s">
        <v>15</v>
      </c>
      <c r="H55" s="116">
        <f>IF('Input Enrollment'!$C$28+'Input Enrollment'!$C$30=0,0,SUM(('Input Enrollment'!C28*'Input Enrollment'!C30)/16))</f>
        <v>0</v>
      </c>
      <c r="I55" s="116"/>
    </row>
    <row r="56" spans="1:9" s="1" customFormat="1" ht="15" x14ac:dyDescent="0.2">
      <c r="A56" s="7"/>
      <c r="B56" s="1" t="s">
        <v>37</v>
      </c>
      <c r="G56" s="7"/>
    </row>
    <row r="57" spans="1:9" s="1" customFormat="1" ht="15" x14ac:dyDescent="0.2">
      <c r="A57" s="7"/>
      <c r="B57" s="1" t="s">
        <v>38</v>
      </c>
      <c r="G57" s="7"/>
    </row>
  </sheetData>
  <sheetProtection algorithmName="SHA-512" hashValue="CBwEoXSkkRdZr0KWhC1xuGjm6km84cbMGvK2VCDVbc3KmNkVX+kWAkkcyqkFRBHqfDgn380esOQ81X6AI54tkg==" saltValue="o/+zcNcvfNqk41R2kptzLw=="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5" right="0.5" top="0.63" bottom="1" header="0.33" footer="0.5"/>
  <pageSetup scale="93" orientation="portrait" r:id="rId1"/>
  <headerFooter alignWithMargins="0">
    <oddFooter>&amp;L&amp;F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2"/>
  <sheetViews>
    <sheetView workbookViewId="0"/>
  </sheetViews>
  <sheetFormatPr defaultRowHeight="12.75" x14ac:dyDescent="0.2"/>
  <cols>
    <col min="1" max="1" width="4.5703125" customWidth="1"/>
    <col min="2" max="3" width="6.85546875" customWidth="1"/>
    <col min="4" max="4" width="3.140625" customWidth="1"/>
    <col min="5" max="5" width="4.28515625" customWidth="1"/>
    <col min="6" max="6" width="5.42578125" customWidth="1"/>
    <col min="7" max="7" width="7.7109375" customWidth="1"/>
    <col min="8" max="8" width="5.140625" customWidth="1"/>
    <col min="9" max="9" width="7" customWidth="1"/>
    <col min="10" max="10" width="5.28515625" customWidth="1"/>
    <col min="11" max="11" width="7" customWidth="1"/>
    <col min="12" max="12" width="4.140625" customWidth="1"/>
    <col min="13" max="13" width="6.7109375" customWidth="1"/>
    <col min="14" max="14" width="5.42578125" customWidth="1"/>
    <col min="15" max="15" width="7" customWidth="1"/>
    <col min="16" max="16" width="5.140625" customWidth="1"/>
    <col min="17" max="17" width="4.85546875" customWidth="1"/>
    <col min="18" max="18" width="5.85546875" customWidth="1"/>
    <col min="19" max="19" width="7.42578125" customWidth="1"/>
    <col min="20" max="20" width="4" customWidth="1"/>
    <col min="21" max="21" width="6.42578125" customWidth="1"/>
    <col min="22" max="22" width="5.85546875" customWidth="1"/>
    <col min="23" max="23" width="6.7109375" customWidth="1"/>
    <col min="24" max="24" width="4.140625" customWidth="1"/>
    <col min="25" max="25" width="7.140625" customWidth="1"/>
  </cols>
  <sheetData>
    <row r="1" spans="1:28" x14ac:dyDescent="0.2">
      <c r="A1" s="36" t="s">
        <v>65</v>
      </c>
      <c r="B1" s="36"/>
      <c r="C1" s="36"/>
      <c r="D1" s="36"/>
      <c r="E1" s="36" t="s">
        <v>67</v>
      </c>
      <c r="F1" s="36"/>
      <c r="G1" s="36"/>
      <c r="H1" s="36"/>
      <c r="I1" s="36" t="s">
        <v>69</v>
      </c>
      <c r="J1" s="36"/>
      <c r="K1" s="36"/>
      <c r="L1" s="36"/>
      <c r="M1" s="36" t="s">
        <v>71</v>
      </c>
      <c r="N1" s="36"/>
      <c r="O1" s="36"/>
      <c r="P1" s="36"/>
      <c r="Q1" s="36" t="s">
        <v>18</v>
      </c>
      <c r="R1" s="36"/>
      <c r="S1" s="36"/>
      <c r="T1" s="36"/>
      <c r="U1" s="36" t="s">
        <v>70</v>
      </c>
      <c r="V1" s="36"/>
      <c r="W1" s="36"/>
      <c r="X1" s="36"/>
      <c r="Y1" s="36" t="s">
        <v>74</v>
      </c>
      <c r="Z1" s="36"/>
      <c r="AA1" s="36"/>
      <c r="AB1" s="36"/>
    </row>
    <row r="2" spans="1:28" x14ac:dyDescent="0.2">
      <c r="A2" s="38" t="s">
        <v>66</v>
      </c>
      <c r="B2" s="38" t="s">
        <v>68</v>
      </c>
      <c r="C2" s="38" t="s">
        <v>77</v>
      </c>
      <c r="D2" s="36"/>
      <c r="E2" s="38" t="s">
        <v>66</v>
      </c>
      <c r="F2" s="38" t="s">
        <v>68</v>
      </c>
      <c r="G2" s="38" t="s">
        <v>77</v>
      </c>
      <c r="H2" s="36"/>
      <c r="I2" s="38" t="s">
        <v>66</v>
      </c>
      <c r="J2" s="38" t="s">
        <v>68</v>
      </c>
      <c r="K2" s="38" t="s">
        <v>77</v>
      </c>
      <c r="L2" s="36"/>
      <c r="M2" s="38" t="s">
        <v>66</v>
      </c>
      <c r="N2" s="38" t="s">
        <v>68</v>
      </c>
      <c r="O2" s="38" t="s">
        <v>77</v>
      </c>
      <c r="P2" s="38"/>
      <c r="Q2" s="38" t="s">
        <v>66</v>
      </c>
      <c r="R2" s="38" t="s">
        <v>68</v>
      </c>
      <c r="S2" s="38" t="s">
        <v>77</v>
      </c>
      <c r="T2" s="36"/>
      <c r="U2" s="38" t="s">
        <v>66</v>
      </c>
      <c r="V2" s="38" t="s">
        <v>68</v>
      </c>
      <c r="W2" s="38" t="s">
        <v>77</v>
      </c>
      <c r="X2" s="36"/>
      <c r="Y2" s="38" t="s">
        <v>75</v>
      </c>
      <c r="Z2" s="38" t="s">
        <v>76</v>
      </c>
      <c r="AA2" s="38" t="s">
        <v>77</v>
      </c>
      <c r="AB2" s="36"/>
    </row>
    <row r="3" spans="1:28" x14ac:dyDescent="0.2">
      <c r="A3" s="39">
        <v>0</v>
      </c>
      <c r="B3" s="39">
        <v>0</v>
      </c>
      <c r="C3" s="39">
        <v>0</v>
      </c>
      <c r="D3" s="36"/>
      <c r="E3" s="39">
        <v>0</v>
      </c>
      <c r="F3" s="39">
        <v>0</v>
      </c>
      <c r="G3" s="39">
        <v>0</v>
      </c>
      <c r="H3" s="36"/>
      <c r="I3" s="39">
        <v>0</v>
      </c>
      <c r="J3" s="39">
        <v>0</v>
      </c>
      <c r="K3" s="39">
        <v>0</v>
      </c>
      <c r="L3" s="36"/>
      <c r="M3" s="39">
        <v>0</v>
      </c>
      <c r="N3" s="39">
        <v>0</v>
      </c>
      <c r="O3" s="39">
        <v>0</v>
      </c>
      <c r="P3" s="38"/>
      <c r="Q3" s="39">
        <v>0</v>
      </c>
      <c r="R3" s="39">
        <v>0</v>
      </c>
      <c r="S3" s="39">
        <v>0</v>
      </c>
      <c r="T3" s="36"/>
      <c r="U3" s="39">
        <v>0</v>
      </c>
      <c r="V3" s="39">
        <v>0</v>
      </c>
      <c r="W3" s="39">
        <v>0</v>
      </c>
      <c r="X3" s="36"/>
      <c r="Y3" s="39">
        <v>8</v>
      </c>
      <c r="Z3" s="39">
        <v>16</v>
      </c>
      <c r="AA3" s="39">
        <v>0</v>
      </c>
      <c r="AB3" s="36"/>
    </row>
    <row r="4" spans="1:28" x14ac:dyDescent="0.2">
      <c r="A4" s="36">
        <v>1</v>
      </c>
      <c r="B4" s="36">
        <v>0</v>
      </c>
      <c r="C4" s="36">
        <v>0</v>
      </c>
      <c r="D4" s="36"/>
      <c r="E4" s="36">
        <v>1</v>
      </c>
      <c r="F4" s="36">
        <v>12</v>
      </c>
      <c r="G4" s="36">
        <v>1</v>
      </c>
      <c r="H4" s="36"/>
      <c r="I4" s="36">
        <v>1</v>
      </c>
      <c r="J4" s="36">
        <v>12</v>
      </c>
      <c r="K4" s="36">
        <v>1</v>
      </c>
      <c r="L4" s="36"/>
      <c r="M4" s="36">
        <v>1</v>
      </c>
      <c r="N4" s="36">
        <v>12</v>
      </c>
      <c r="O4" s="36">
        <v>1</v>
      </c>
      <c r="P4" s="36"/>
      <c r="Q4" s="36">
        <v>1</v>
      </c>
      <c r="R4" s="36">
        <v>12</v>
      </c>
      <c r="S4" s="36">
        <v>0</v>
      </c>
      <c r="T4" s="36"/>
      <c r="U4" s="36">
        <v>1</v>
      </c>
      <c r="V4" s="36">
        <v>14.5</v>
      </c>
      <c r="W4" s="36">
        <v>0.25</v>
      </c>
      <c r="X4" s="36"/>
      <c r="Y4" s="36">
        <v>9</v>
      </c>
      <c r="Z4" s="36">
        <v>14</v>
      </c>
      <c r="AA4" s="36">
        <v>0</v>
      </c>
      <c r="AB4" s="36"/>
    </row>
    <row r="5" spans="1:28" x14ac:dyDescent="0.2">
      <c r="A5" s="36">
        <v>8</v>
      </c>
      <c r="B5" s="36">
        <v>40</v>
      </c>
      <c r="C5" s="36">
        <v>0.5</v>
      </c>
      <c r="D5" s="36"/>
      <c r="E5" s="36">
        <v>16.600000000000001</v>
      </c>
      <c r="F5" s="36">
        <v>12</v>
      </c>
      <c r="G5" s="36">
        <v>1.4</v>
      </c>
      <c r="H5" s="36"/>
      <c r="I5" s="36">
        <v>16.600000000000001</v>
      </c>
      <c r="J5" s="36">
        <v>12</v>
      </c>
      <c r="K5" s="36">
        <v>1.4</v>
      </c>
      <c r="L5" s="36"/>
      <c r="M5" s="36">
        <v>17</v>
      </c>
      <c r="N5" s="36">
        <v>12</v>
      </c>
      <c r="O5" s="36">
        <v>1.4</v>
      </c>
      <c r="P5" s="36"/>
      <c r="Q5" s="36">
        <v>100</v>
      </c>
      <c r="R5" s="36">
        <v>12</v>
      </c>
      <c r="S5" s="36">
        <v>9</v>
      </c>
      <c r="T5" s="36"/>
      <c r="U5" s="36">
        <v>4</v>
      </c>
      <c r="V5" s="36">
        <v>14.5</v>
      </c>
      <c r="W5" s="36">
        <v>0.5</v>
      </c>
      <c r="X5" s="36"/>
      <c r="Y5" s="36">
        <v>12</v>
      </c>
      <c r="Z5" s="36">
        <v>0</v>
      </c>
      <c r="AA5" s="36">
        <v>8</v>
      </c>
      <c r="AB5" s="36"/>
    </row>
    <row r="6" spans="1:28" x14ac:dyDescent="0.2">
      <c r="A6" s="36">
        <v>16</v>
      </c>
      <c r="B6" s="36">
        <v>40</v>
      </c>
      <c r="C6" s="36">
        <v>0.6</v>
      </c>
      <c r="D6" s="36"/>
      <c r="E6" s="36">
        <v>33.6</v>
      </c>
      <c r="F6" s="36">
        <v>13</v>
      </c>
      <c r="G6" s="36">
        <v>2.8</v>
      </c>
      <c r="H6" s="36"/>
      <c r="I6" s="36">
        <v>33.6</v>
      </c>
      <c r="J6" s="36">
        <v>13</v>
      </c>
      <c r="K6" s="36">
        <v>2.8</v>
      </c>
      <c r="L6" s="36"/>
      <c r="M6" s="36">
        <v>34</v>
      </c>
      <c r="N6" s="36">
        <v>13</v>
      </c>
      <c r="O6" s="36">
        <v>2.8</v>
      </c>
      <c r="P6" s="36"/>
      <c r="Q6" s="36">
        <v>200</v>
      </c>
      <c r="R6" s="36">
        <v>13.5</v>
      </c>
      <c r="S6" s="36">
        <v>17</v>
      </c>
      <c r="T6" s="36"/>
      <c r="U6" s="36">
        <v>8</v>
      </c>
      <c r="V6" s="36">
        <v>14.5</v>
      </c>
      <c r="W6" s="36">
        <v>0.75</v>
      </c>
      <c r="X6" s="36"/>
      <c r="Y6" s="36"/>
      <c r="Z6" s="36"/>
      <c r="AA6" s="36"/>
      <c r="AB6" s="36"/>
    </row>
    <row r="7" spans="1:28" x14ac:dyDescent="0.2">
      <c r="A7" s="36">
        <v>21</v>
      </c>
      <c r="B7" s="36">
        <v>40</v>
      </c>
      <c r="C7" s="36">
        <v>0.75</v>
      </c>
      <c r="D7" s="36"/>
      <c r="E7" s="36">
        <v>51.7</v>
      </c>
      <c r="F7" s="36">
        <v>15</v>
      </c>
      <c r="G7" s="36">
        <v>4</v>
      </c>
      <c r="H7" s="36"/>
      <c r="I7" s="36">
        <v>51.7</v>
      </c>
      <c r="J7" s="36">
        <v>15</v>
      </c>
      <c r="K7" s="36">
        <v>4</v>
      </c>
      <c r="L7" s="36"/>
      <c r="M7" s="36">
        <v>52</v>
      </c>
      <c r="N7" s="36">
        <v>15</v>
      </c>
      <c r="O7" s="36">
        <v>4</v>
      </c>
      <c r="P7" s="36"/>
      <c r="Q7" s="36">
        <v>300</v>
      </c>
      <c r="R7" s="36">
        <v>14.5</v>
      </c>
      <c r="S7" s="36">
        <v>22</v>
      </c>
      <c r="T7" s="36"/>
      <c r="U7" s="36">
        <v>12</v>
      </c>
      <c r="V7" s="36">
        <v>14.5</v>
      </c>
      <c r="W7" s="36">
        <v>1</v>
      </c>
      <c r="X7" s="36"/>
      <c r="Y7" s="36"/>
      <c r="Z7" s="36"/>
      <c r="AA7" s="36"/>
      <c r="AB7" s="36"/>
    </row>
    <row r="8" spans="1:28" x14ac:dyDescent="0.2">
      <c r="A8" s="36">
        <v>26</v>
      </c>
      <c r="B8" s="36">
        <v>40</v>
      </c>
      <c r="C8" s="36">
        <v>0.85</v>
      </c>
      <c r="D8" s="36"/>
      <c r="E8" s="36">
        <v>71.099999999999994</v>
      </c>
      <c r="F8" s="36">
        <v>16</v>
      </c>
      <c r="G8" s="36">
        <v>4.7</v>
      </c>
      <c r="H8" s="36"/>
      <c r="I8" s="36">
        <v>71.099999999999994</v>
      </c>
      <c r="J8" s="36">
        <v>16</v>
      </c>
      <c r="K8" s="36">
        <v>4.7</v>
      </c>
      <c r="L8" s="36"/>
      <c r="M8" s="36">
        <v>71</v>
      </c>
      <c r="N8" s="36">
        <v>16</v>
      </c>
      <c r="O8" s="36">
        <v>4.7</v>
      </c>
      <c r="P8" s="36"/>
      <c r="Q8" s="36">
        <v>400</v>
      </c>
      <c r="R8" s="36">
        <v>16</v>
      </c>
      <c r="S8" s="36">
        <v>28</v>
      </c>
      <c r="T8" s="36"/>
      <c r="U8" s="36">
        <v>14</v>
      </c>
      <c r="V8" s="36">
        <v>14.5</v>
      </c>
      <c r="W8" s="36">
        <v>1</v>
      </c>
      <c r="X8" s="36"/>
      <c r="Y8" s="36"/>
      <c r="Z8" s="36"/>
      <c r="AA8" s="36"/>
      <c r="AB8" s="36"/>
    </row>
    <row r="9" spans="1:28" x14ac:dyDescent="0.2">
      <c r="A9" s="36">
        <v>31</v>
      </c>
      <c r="B9" s="36">
        <v>40</v>
      </c>
      <c r="C9" s="36">
        <v>1</v>
      </c>
      <c r="D9" s="36"/>
      <c r="E9" s="36">
        <v>110</v>
      </c>
      <c r="F9" s="36">
        <v>19</v>
      </c>
      <c r="G9" s="36">
        <v>6.8</v>
      </c>
      <c r="H9" s="36"/>
      <c r="I9" s="36">
        <v>110</v>
      </c>
      <c r="J9" s="36">
        <v>19</v>
      </c>
      <c r="K9" s="36">
        <v>6.8</v>
      </c>
      <c r="L9" s="36"/>
      <c r="M9" s="36">
        <v>110</v>
      </c>
      <c r="N9" s="36">
        <v>19</v>
      </c>
      <c r="O9" s="36">
        <v>6.8</v>
      </c>
      <c r="P9" s="36"/>
      <c r="Q9" s="36">
        <v>750</v>
      </c>
      <c r="R9" s="36">
        <v>18.5</v>
      </c>
      <c r="S9" s="36">
        <v>47</v>
      </c>
      <c r="T9" s="36"/>
      <c r="U9" s="36"/>
      <c r="V9" s="36"/>
      <c r="W9" s="36"/>
      <c r="X9" s="36"/>
      <c r="Y9" s="36"/>
      <c r="Z9" s="36"/>
      <c r="AA9" s="36"/>
      <c r="AB9" s="36"/>
    </row>
    <row r="10" spans="1:28" x14ac:dyDescent="0.2">
      <c r="A10" s="36">
        <v>41</v>
      </c>
      <c r="B10" s="36">
        <v>40</v>
      </c>
      <c r="C10" s="36">
        <v>1</v>
      </c>
      <c r="D10" s="36"/>
      <c r="E10" s="36">
        <v>160</v>
      </c>
      <c r="F10" s="36">
        <v>20</v>
      </c>
      <c r="G10" s="36">
        <v>8.4</v>
      </c>
      <c r="H10" s="36"/>
      <c r="I10" s="36">
        <v>160</v>
      </c>
      <c r="J10" s="36">
        <v>20</v>
      </c>
      <c r="K10" s="36">
        <v>8.4</v>
      </c>
      <c r="L10" s="36"/>
      <c r="M10" s="36">
        <v>160</v>
      </c>
      <c r="N10" s="36">
        <v>20</v>
      </c>
      <c r="O10" s="36">
        <v>8.4</v>
      </c>
      <c r="P10" s="36"/>
      <c r="Q10" s="36"/>
      <c r="R10" s="36"/>
      <c r="S10" s="36"/>
      <c r="T10" s="36"/>
      <c r="U10" s="36"/>
      <c r="V10" s="36"/>
      <c r="W10" s="36"/>
      <c r="X10" s="36"/>
      <c r="Y10" s="36"/>
      <c r="Z10" s="36"/>
      <c r="AA10" s="36"/>
      <c r="AB10" s="36"/>
    </row>
    <row r="11" spans="1:28" x14ac:dyDescent="0.2">
      <c r="A11" s="36"/>
      <c r="B11" s="36"/>
      <c r="C11" s="36"/>
      <c r="D11" s="36"/>
      <c r="E11" s="36">
        <v>300</v>
      </c>
      <c r="F11" s="36">
        <v>20</v>
      </c>
      <c r="G11" s="36">
        <v>15</v>
      </c>
      <c r="H11" s="36"/>
      <c r="I11" s="36">
        <v>300</v>
      </c>
      <c r="J11" s="36">
        <v>23</v>
      </c>
      <c r="K11" s="36">
        <v>15</v>
      </c>
      <c r="L11" s="36"/>
      <c r="M11" s="36">
        <v>300</v>
      </c>
      <c r="N11" s="36">
        <v>23</v>
      </c>
      <c r="O11" s="36">
        <v>15</v>
      </c>
      <c r="P11" s="36"/>
      <c r="Q11" s="36"/>
      <c r="R11" s="36"/>
      <c r="S11" s="36"/>
      <c r="T11" s="36"/>
      <c r="U11" s="36"/>
      <c r="V11" s="36"/>
      <c r="W11" s="36"/>
      <c r="X11" s="36"/>
      <c r="Y11" s="36"/>
      <c r="Z11" s="36"/>
      <c r="AA11" s="36"/>
      <c r="AB11" s="36"/>
    </row>
    <row r="12" spans="1:28" x14ac:dyDescent="0.2">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Input Enrollment</vt:lpstr>
      <vt:lpstr>Attendance % Assistance</vt:lpstr>
      <vt:lpstr>Midterm With</vt:lpstr>
      <vt:lpstr>Midterm Without</vt:lpstr>
      <vt:lpstr>Best 28 With</vt:lpstr>
      <vt:lpstr>Best 28 Without</vt:lpstr>
      <vt:lpstr>Exceptional Child Calc</vt:lpstr>
      <vt:lpstr>criteria</vt:lpstr>
      <vt:lpstr>criteria!Criteria</vt:lpstr>
      <vt:lpstr>criteria!Extract</vt:lpstr>
      <vt:lpstr>'Best 28 With'!Print_Area</vt:lpstr>
      <vt:lpstr>'Best 28 Without'!Print_Area</vt:lpstr>
      <vt:lpstr>'Input Enrollment'!Print_Area</vt:lpstr>
      <vt:lpstr>'Midterm With'!Print_Area</vt:lpstr>
      <vt:lpstr>'Midterm Without'!Print_Area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emessenger</dc:creator>
  <cp:lastModifiedBy>Dean Reich</cp:lastModifiedBy>
  <cp:lastPrinted>2023-03-15T14:45:54Z</cp:lastPrinted>
  <dcterms:created xsi:type="dcterms:W3CDTF">2003-05-07T20:27:16Z</dcterms:created>
  <dcterms:modified xsi:type="dcterms:W3CDTF">2023-04-05T18:21:51Z</dcterms:modified>
</cp:coreProperties>
</file>