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C:\Users\dreich\Desktop\SU Estimating Templates\"/>
    </mc:Choice>
  </mc:AlternateContent>
  <xr:revisionPtr revIDLastSave="0" documentId="13_ncr:1_{15C7A0A0-BEB2-4353-8122-C7303EBD8786}" xr6:coauthVersionLast="36" xr6:coauthVersionMax="36" xr10:uidLastSave="{00000000-0000-0000-0000-000000000000}"/>
  <bookViews>
    <workbookView xWindow="0" yWindow="0" windowWidth="28800" windowHeight="11085" tabRatio="634" xr2:uid="{00000000-000D-0000-FFFF-FFFF00000000}"/>
  </bookViews>
  <sheets>
    <sheet name="Enrollment Input" sheetId="6" r:id="rId1"/>
    <sheet name="Attendance % Assistance" sheetId="11" r:id="rId2"/>
    <sheet name="Midterm With" sheetId="2" r:id="rId3"/>
    <sheet name="Midterm Without" sheetId="9" r:id="rId4"/>
    <sheet name="Best 28 With" sheetId="8" r:id="rId5"/>
    <sheet name="Best 28 Without" sheetId="10" r:id="rId6"/>
    <sheet name="Exceptional Child Calc" sheetId="1" r:id="rId7"/>
    <sheet name="criteria" sheetId="7" state="hidden" r:id="rId8"/>
  </sheets>
  <definedNames>
    <definedName name="_xlnm._FilterDatabase" localSheetId="7" hidden="1">criteria!$A$16:$B$25</definedName>
    <definedName name="_xlnm.Criteria" localSheetId="7">criteria!$A$13:$A$14</definedName>
    <definedName name="_xlnm.Extract" localSheetId="7">criteria!$E$16:$F$16</definedName>
    <definedName name="_xlnm.Print_Area" localSheetId="4">'Best 28 With'!$A$1:$P$70</definedName>
    <definedName name="_xlnm.Print_Area" localSheetId="5">'Best 28 Without'!$A$1:$P$71</definedName>
    <definedName name="_xlnm.Print_Area" localSheetId="0">'Enrollment Input'!$A$1:$H$68</definedName>
    <definedName name="_xlnm.Print_Area" localSheetId="2">'Midterm With'!$A$1:$P$70</definedName>
    <definedName name="_xlnm.Print_Area" localSheetId="3">'Midterm Without'!$A$1:$P$71</definedName>
  </definedNames>
  <calcPr calcId="191029"/>
</workbook>
</file>

<file path=xl/calcChain.xml><?xml version="1.0" encoding="utf-8"?>
<calcChain xmlns="http://schemas.openxmlformats.org/spreadsheetml/2006/main">
  <c r="G60" i="6" l="1"/>
  <c r="E60" i="6"/>
  <c r="G47" i="6" l="1"/>
  <c r="G43" i="6" l="1"/>
  <c r="G42" i="6"/>
  <c r="G41" i="6"/>
  <c r="G40" i="6"/>
  <c r="G37" i="6"/>
  <c r="G36" i="6"/>
  <c r="G35" i="6"/>
  <c r="G33" i="6"/>
  <c r="G32" i="6"/>
  <c r="G31" i="6"/>
  <c r="G29" i="6"/>
  <c r="G28" i="6"/>
  <c r="G27" i="6"/>
  <c r="G25" i="6"/>
  <c r="G24" i="6"/>
  <c r="G23" i="6"/>
  <c r="E43" i="6"/>
  <c r="E42" i="6"/>
  <c r="E41" i="6"/>
  <c r="E40" i="6"/>
  <c r="E37" i="6"/>
  <c r="E36" i="6"/>
  <c r="E35" i="6"/>
  <c r="E33" i="6"/>
  <c r="E32" i="6"/>
  <c r="E31" i="6"/>
  <c r="E29" i="6"/>
  <c r="E28" i="6"/>
  <c r="E27" i="6"/>
  <c r="E25" i="6"/>
  <c r="E24" i="6"/>
  <c r="E23" i="6"/>
  <c r="G20" i="6"/>
  <c r="G18" i="6"/>
  <c r="G17" i="6"/>
  <c r="E20" i="6"/>
  <c r="E18" i="6"/>
  <c r="E17" i="6"/>
  <c r="G14" i="6"/>
  <c r="E14" i="6"/>
  <c r="J66" i="9" l="1"/>
  <c r="Q66" i="9" s="1"/>
  <c r="M66" i="9" s="1"/>
  <c r="H55" i="1"/>
  <c r="J22" i="9" s="1"/>
  <c r="H16" i="1"/>
  <c r="H10" i="1"/>
  <c r="H13" i="1"/>
  <c r="J28" i="9"/>
  <c r="J6" i="9"/>
  <c r="M6" i="9"/>
  <c r="Q6" i="9" s="1"/>
  <c r="O6" i="9" s="1"/>
  <c r="P6" i="9" s="1"/>
  <c r="J18" i="9"/>
  <c r="M18" i="9" s="1"/>
  <c r="Q18" i="9" s="1"/>
  <c r="J34" i="9"/>
  <c r="M34" i="9"/>
  <c r="Q34" i="9"/>
  <c r="O34" i="9" s="1"/>
  <c r="P34" i="9"/>
  <c r="J36" i="9"/>
  <c r="M36" i="9"/>
  <c r="Q36" i="9" s="1"/>
  <c r="O36" i="9" s="1"/>
  <c r="P36" i="9" s="1"/>
  <c r="J38" i="9"/>
  <c r="J40" i="9"/>
  <c r="M40" i="9"/>
  <c r="Q40" i="9" s="1"/>
  <c r="O40" i="9" s="1"/>
  <c r="P40" i="9" s="1"/>
  <c r="J42" i="9"/>
  <c r="M42" i="9" s="1"/>
  <c r="J44" i="9"/>
  <c r="Q46" i="9"/>
  <c r="O46" i="9" s="1"/>
  <c r="P46" i="9"/>
  <c r="J48" i="9"/>
  <c r="M48" i="9"/>
  <c r="Q48" i="9"/>
  <c r="O48" i="9" s="1"/>
  <c r="P48" i="9" s="1"/>
  <c r="J50" i="9"/>
  <c r="M50" i="9" s="1"/>
  <c r="Q50" i="9" s="1"/>
  <c r="Q52" i="9"/>
  <c r="O52" i="9" s="1"/>
  <c r="Q54" i="9"/>
  <c r="O54" i="9" s="1"/>
  <c r="P54" i="9" s="1"/>
  <c r="J56" i="9"/>
  <c r="M56" i="9" s="1"/>
  <c r="Q56" i="9" s="1"/>
  <c r="Q58" i="9"/>
  <c r="O58" i="9" s="1"/>
  <c r="Q60" i="9"/>
  <c r="O60" i="9" s="1"/>
  <c r="Q61" i="9"/>
  <c r="O61" i="9" s="1"/>
  <c r="P61" i="9" s="1"/>
  <c r="J63" i="9"/>
  <c r="M63" i="9" s="1"/>
  <c r="Q63" i="9" s="1"/>
  <c r="J68" i="9"/>
  <c r="M68" i="9" s="1"/>
  <c r="J46" i="2"/>
  <c r="M46" i="2"/>
  <c r="Q46" i="2"/>
  <c r="O46" i="2" s="1"/>
  <c r="J56" i="8"/>
  <c r="J54" i="8"/>
  <c r="M54" i="8"/>
  <c r="Q54" i="8"/>
  <c r="O54" i="8" s="1"/>
  <c r="P54" i="8" s="1"/>
  <c r="J52" i="8"/>
  <c r="M52" i="8"/>
  <c r="Q52" i="8"/>
  <c r="O52" i="8" s="1"/>
  <c r="P52" i="8"/>
  <c r="B56" i="8"/>
  <c r="B54" i="8"/>
  <c r="B52" i="8"/>
  <c r="J50" i="8"/>
  <c r="M50" i="8" s="1"/>
  <c r="Q50" i="8" s="1"/>
  <c r="J46" i="8"/>
  <c r="M46" i="8"/>
  <c r="Q46" i="8"/>
  <c r="O46" i="8" s="1"/>
  <c r="P46" i="8"/>
  <c r="J44" i="8"/>
  <c r="J48" i="8"/>
  <c r="M48" i="8"/>
  <c r="Q48" i="8"/>
  <c r="O48" i="8" s="1"/>
  <c r="P48" i="8" s="1"/>
  <c r="B50" i="8"/>
  <c r="B48" i="8"/>
  <c r="B46" i="8"/>
  <c r="J68" i="8"/>
  <c r="J7" i="8"/>
  <c r="M7" i="8"/>
  <c r="Q7" i="8"/>
  <c r="O7" i="8" s="1"/>
  <c r="P7" i="8" s="1"/>
  <c r="B68" i="8"/>
  <c r="J61" i="8"/>
  <c r="J60" i="8"/>
  <c r="M61" i="8"/>
  <c r="M60" i="8"/>
  <c r="J58" i="8"/>
  <c r="M58" i="8"/>
  <c r="Q58" i="8"/>
  <c r="O58" i="8" s="1"/>
  <c r="P58" i="8"/>
  <c r="J66" i="8"/>
  <c r="Q66" i="8" s="1"/>
  <c r="J34" i="8"/>
  <c r="M34" i="8"/>
  <c r="Q34" i="8"/>
  <c r="O34" i="8" s="1"/>
  <c r="P34" i="8"/>
  <c r="J36" i="8"/>
  <c r="M36" i="8"/>
  <c r="Q36" i="8"/>
  <c r="O36" i="8" s="1"/>
  <c r="P36" i="8" s="1"/>
  <c r="Q61" i="8"/>
  <c r="O61" i="8" s="1"/>
  <c r="P61" i="8" s="1"/>
  <c r="Q60" i="8"/>
  <c r="O60" i="8" s="1"/>
  <c r="P60" i="8" s="1"/>
  <c r="J63" i="8"/>
  <c r="M63" i="8" s="1"/>
  <c r="Q63" i="8" s="1"/>
  <c r="J28" i="8"/>
  <c r="F7" i="8"/>
  <c r="B60" i="8"/>
  <c r="J40" i="8"/>
  <c r="M40" i="8"/>
  <c r="Q40" i="8"/>
  <c r="O40" i="8" s="1"/>
  <c r="P40" i="8"/>
  <c r="J38" i="8"/>
  <c r="M38" i="8" s="1"/>
  <c r="Q38" i="8" s="1"/>
  <c r="J42" i="8"/>
  <c r="M42" i="8"/>
  <c r="Q42" i="8"/>
  <c r="O42" i="8" s="1"/>
  <c r="P42" i="8" s="1"/>
  <c r="B66" i="8"/>
  <c r="B63" i="8"/>
  <c r="B61" i="8"/>
  <c r="B58" i="8"/>
  <c r="B44" i="8"/>
  <c r="B42" i="8"/>
  <c r="B40" i="8"/>
  <c r="B38" i="8"/>
  <c r="B36" i="8"/>
  <c r="B34" i="8"/>
  <c r="H31" i="1"/>
  <c r="H39" i="1" s="1"/>
  <c r="H41" i="1" s="1"/>
  <c r="H43" i="1" s="1"/>
  <c r="H37" i="1"/>
  <c r="J56" i="10"/>
  <c r="M56" i="10" s="1"/>
  <c r="Q56" i="10" s="1"/>
  <c r="J54" i="10"/>
  <c r="M54" i="10"/>
  <c r="Q54" i="10"/>
  <c r="O54" i="10" s="1"/>
  <c r="P54" i="10" s="1"/>
  <c r="J52" i="10"/>
  <c r="M52" i="10"/>
  <c r="Q52" i="10"/>
  <c r="O52" i="10" s="1"/>
  <c r="P52" i="10"/>
  <c r="B56" i="10"/>
  <c r="B54" i="10"/>
  <c r="B52" i="10"/>
  <c r="J38" i="10"/>
  <c r="J44" i="10"/>
  <c r="M44" i="10" s="1"/>
  <c r="Q44" i="10" s="1"/>
  <c r="J50" i="10"/>
  <c r="M50" i="10" s="1"/>
  <c r="Q50" i="10" s="1"/>
  <c r="J18" i="10"/>
  <c r="F18" i="10" s="1"/>
  <c r="J66" i="10"/>
  <c r="M66" i="10" s="1"/>
  <c r="J46" i="10"/>
  <c r="M46" i="10"/>
  <c r="Q46" i="10"/>
  <c r="O46" i="10" s="1"/>
  <c r="P46" i="10"/>
  <c r="J48" i="10"/>
  <c r="M48" i="10"/>
  <c r="Q48" i="10"/>
  <c r="O48" i="10" s="1"/>
  <c r="P48" i="10" s="1"/>
  <c r="B50" i="10"/>
  <c r="B48" i="10"/>
  <c r="B46" i="10"/>
  <c r="J68" i="10"/>
  <c r="M68" i="10" s="1"/>
  <c r="O68" i="10" s="1"/>
  <c r="J7" i="10"/>
  <c r="M7" i="10" s="1"/>
  <c r="Q7" i="10" s="1"/>
  <c r="O7" i="10" s="1"/>
  <c r="P7" i="10" s="1"/>
  <c r="B68" i="10"/>
  <c r="J61" i="10"/>
  <c r="J60" i="10"/>
  <c r="M61" i="10"/>
  <c r="M60" i="10"/>
  <c r="J58" i="10"/>
  <c r="M58" i="10"/>
  <c r="Q58" i="10"/>
  <c r="O58" i="10" s="1"/>
  <c r="P58" i="10"/>
  <c r="J34" i="10"/>
  <c r="M34" i="10"/>
  <c r="Q34" i="10"/>
  <c r="O34" i="10" s="1"/>
  <c r="P34" i="10"/>
  <c r="J36" i="10"/>
  <c r="M36" i="10"/>
  <c r="Q36" i="10"/>
  <c r="O36" i="10" s="1"/>
  <c r="P36" i="10" s="1"/>
  <c r="Q61" i="10"/>
  <c r="O61" i="10" s="1"/>
  <c r="P61" i="10" s="1"/>
  <c r="Q60" i="10"/>
  <c r="O60" i="10" s="1"/>
  <c r="P60" i="10" s="1"/>
  <c r="J63" i="10"/>
  <c r="J28" i="10"/>
  <c r="F7" i="10"/>
  <c r="B60" i="10"/>
  <c r="J40" i="10"/>
  <c r="M40" i="10"/>
  <c r="Q40" i="10"/>
  <c r="O40" i="10" s="1"/>
  <c r="P40" i="10"/>
  <c r="J42" i="10"/>
  <c r="M42" i="10"/>
  <c r="Q42" i="10"/>
  <c r="O42" i="10" s="1"/>
  <c r="P42" i="10" s="1"/>
  <c r="J26" i="10"/>
  <c r="B66" i="10"/>
  <c r="B63" i="10"/>
  <c r="B61" i="10"/>
  <c r="B58" i="10"/>
  <c r="B44" i="10"/>
  <c r="B42" i="10"/>
  <c r="B40" i="10"/>
  <c r="B38" i="10"/>
  <c r="B36" i="10"/>
  <c r="B34" i="10"/>
  <c r="J56" i="2"/>
  <c r="P52" i="2"/>
  <c r="J54" i="2"/>
  <c r="M54" i="2"/>
  <c r="Q54" i="2"/>
  <c r="O54" i="2" s="1"/>
  <c r="P54" i="2" s="1"/>
  <c r="J52" i="2"/>
  <c r="M52" i="2"/>
  <c r="B56" i="2"/>
  <c r="B54" i="2"/>
  <c r="B52" i="2"/>
  <c r="Q52" i="2"/>
  <c r="O52" i="2" s="1"/>
  <c r="J63" i="2"/>
  <c r="M63" i="2" s="1"/>
  <c r="Q63" i="2" s="1"/>
  <c r="J44" i="2"/>
  <c r="M44" i="2" s="1"/>
  <c r="Q44" i="2" s="1"/>
  <c r="J38" i="2"/>
  <c r="J50" i="2"/>
  <c r="M50" i="2" s="1"/>
  <c r="Q50" i="2" s="1"/>
  <c r="P46" i="2"/>
  <c r="J48" i="2"/>
  <c r="M48" i="2"/>
  <c r="Q48" i="2"/>
  <c r="O48" i="2" s="1"/>
  <c r="P48" i="2" s="1"/>
  <c r="B50" i="2"/>
  <c r="B48" i="2"/>
  <c r="B46" i="2"/>
  <c r="J68" i="2"/>
  <c r="J7" i="2"/>
  <c r="M7" i="2" s="1"/>
  <c r="Q7" i="2" s="1"/>
  <c r="O7" i="2" s="1"/>
  <c r="P7" i="2" s="1"/>
  <c r="J28" i="2"/>
  <c r="J34" i="2"/>
  <c r="M34" i="2"/>
  <c r="Q34" i="2"/>
  <c r="O34" i="2" s="1"/>
  <c r="P34" i="2"/>
  <c r="J36" i="2"/>
  <c r="M36" i="2" s="1"/>
  <c r="Q36" i="2" s="1"/>
  <c r="O36" i="2" s="1"/>
  <c r="P36" i="2" s="1"/>
  <c r="J40" i="2"/>
  <c r="M40" i="2" s="1"/>
  <c r="Q40" i="2" s="1"/>
  <c r="O40" i="2" s="1"/>
  <c r="P40" i="2" s="1"/>
  <c r="J42" i="2"/>
  <c r="M42" i="2"/>
  <c r="Q42" i="2"/>
  <c r="O42" i="2" s="1"/>
  <c r="P42" i="2" s="1"/>
  <c r="J58" i="2"/>
  <c r="M58" i="2"/>
  <c r="Q58" i="2"/>
  <c r="O58" i="2" s="1"/>
  <c r="J60" i="2"/>
  <c r="J61" i="2"/>
  <c r="M60" i="2"/>
  <c r="Q60" i="2"/>
  <c r="O60" i="2" s="1"/>
  <c r="M61" i="2"/>
  <c r="Q61" i="2"/>
  <c r="O61" i="2" s="1"/>
  <c r="P61" i="2" s="1"/>
  <c r="J66" i="2"/>
  <c r="Q66" i="2" s="1"/>
  <c r="M66" i="2" s="1"/>
  <c r="O66" i="2" s="1"/>
  <c r="B68" i="2"/>
  <c r="P58" i="2"/>
  <c r="P60" i="2"/>
  <c r="B60" i="2"/>
  <c r="F7" i="2"/>
  <c r="B66" i="2"/>
  <c r="B63" i="2"/>
  <c r="B61" i="2"/>
  <c r="B58" i="2"/>
  <c r="B44" i="2"/>
  <c r="B42" i="2"/>
  <c r="B40" i="2"/>
  <c r="B38" i="2"/>
  <c r="B36" i="2"/>
  <c r="B34" i="2"/>
  <c r="J26" i="9"/>
  <c r="P52" i="9"/>
  <c r="J54" i="9"/>
  <c r="M54" i="9"/>
  <c r="J52" i="9"/>
  <c r="M52" i="9"/>
  <c r="B56" i="9"/>
  <c r="B54" i="9"/>
  <c r="B52" i="9"/>
  <c r="J46" i="9"/>
  <c r="M46" i="9"/>
  <c r="B50" i="9"/>
  <c r="B48" i="9"/>
  <c r="B46" i="9"/>
  <c r="J58" i="9"/>
  <c r="M58" i="9"/>
  <c r="J60" i="9"/>
  <c r="J61" i="9"/>
  <c r="M60" i="9"/>
  <c r="M61" i="9"/>
  <c r="B68" i="9"/>
  <c r="P58" i="9"/>
  <c r="P60" i="9"/>
  <c r="B60" i="9"/>
  <c r="F18" i="9"/>
  <c r="F6" i="9"/>
  <c r="B66" i="9"/>
  <c r="B63" i="9"/>
  <c r="B61" i="9"/>
  <c r="B58" i="9"/>
  <c r="B44" i="9"/>
  <c r="B42" i="9"/>
  <c r="B40" i="9"/>
  <c r="B38" i="9"/>
  <c r="B36" i="9"/>
  <c r="B34" i="9"/>
  <c r="C38" i="6"/>
  <c r="G38" i="6"/>
  <c r="E38" i="6"/>
  <c r="G30" i="6"/>
  <c r="G34" i="6"/>
  <c r="C34" i="6"/>
  <c r="C30" i="6"/>
  <c r="E34" i="6"/>
  <c r="E30" i="6"/>
  <c r="G44" i="6"/>
  <c r="G26" i="6"/>
  <c r="G21" i="6"/>
  <c r="E44" i="6"/>
  <c r="C44" i="6"/>
  <c r="E26" i="6"/>
  <c r="J13" i="8"/>
  <c r="H13" i="8" s="1"/>
  <c r="J13" i="10"/>
  <c r="F13" i="10" s="1"/>
  <c r="J11" i="8"/>
  <c r="F11" i="8" s="1"/>
  <c r="J11" i="10"/>
  <c r="F11" i="10" s="1"/>
  <c r="J16" i="8"/>
  <c r="F16" i="8" s="1"/>
  <c r="J16" i="10"/>
  <c r="F16" i="10" s="1"/>
  <c r="Q16" i="10"/>
  <c r="O16" i="10" s="1"/>
  <c r="P16" i="10" s="1"/>
  <c r="Q16" i="8"/>
  <c r="O16" i="8" s="1"/>
  <c r="P16" i="8" s="1"/>
  <c r="Q42" i="9" l="1"/>
  <c r="O42" i="9" s="1"/>
  <c r="P42" i="9" s="1"/>
  <c r="K13" i="1"/>
  <c r="B26" i="1" s="1"/>
  <c r="K10" i="1"/>
  <c r="B25" i="1" s="1"/>
  <c r="J26" i="8"/>
  <c r="J18" i="2"/>
  <c r="E21" i="6"/>
  <c r="J18" i="8"/>
  <c r="H18" i="8" s="1"/>
  <c r="O18" i="9"/>
  <c r="P18" i="9" s="1"/>
  <c r="O66" i="10"/>
  <c r="M44" i="9"/>
  <c r="Q44" i="9" s="1"/>
  <c r="M56" i="2"/>
  <c r="Q56" i="2" s="1"/>
  <c r="O63" i="8"/>
  <c r="P63" i="8" s="1"/>
  <c r="O50" i="8"/>
  <c r="P50" i="8" s="1"/>
  <c r="O44" i="2"/>
  <c r="P44" i="2" s="1"/>
  <c r="M63" i="10"/>
  <c r="Q63" i="10" s="1"/>
  <c r="O66" i="8"/>
  <c r="Q68" i="2"/>
  <c r="M68" i="8"/>
  <c r="O68" i="8" s="1"/>
  <c r="J22" i="8"/>
  <c r="J22" i="2"/>
  <c r="O38" i="8"/>
  <c r="P38" i="8" s="1"/>
  <c r="H16" i="8"/>
  <c r="O56" i="9"/>
  <c r="P56" i="9" s="1"/>
  <c r="M56" i="8"/>
  <c r="Q56" i="8" s="1"/>
  <c r="J22" i="10"/>
  <c r="M38" i="10"/>
  <c r="Q38" i="10" s="1"/>
  <c r="O56" i="10"/>
  <c r="P56" i="10" s="1"/>
  <c r="M18" i="10"/>
  <c r="Q18" i="10" s="1"/>
  <c r="O50" i="9"/>
  <c r="P50" i="9" s="1"/>
  <c r="M38" i="2"/>
  <c r="Q38" i="2" s="1"/>
  <c r="O63" i="9"/>
  <c r="P63" i="9" s="1"/>
  <c r="Q66" i="10"/>
  <c r="M44" i="8"/>
  <c r="Q44" i="8" s="1"/>
  <c r="O63" i="2"/>
  <c r="P63" i="2" s="1"/>
  <c r="O50" i="10"/>
  <c r="P50" i="10" s="1"/>
  <c r="F13" i="8"/>
  <c r="O44" i="10"/>
  <c r="P44" i="10" s="1"/>
  <c r="O50" i="2"/>
  <c r="P50" i="2" s="1"/>
  <c r="M66" i="8"/>
  <c r="H18" i="1"/>
  <c r="H20" i="1" s="1"/>
  <c r="H22" i="1" s="1"/>
  <c r="J24" i="9" s="1"/>
  <c r="J30" i="9" s="1"/>
  <c r="H11" i="10"/>
  <c r="H11" i="8"/>
  <c r="H13" i="10"/>
  <c r="H16" i="10"/>
  <c r="H18" i="2"/>
  <c r="M38" i="9"/>
  <c r="Q38" i="9" s="1"/>
  <c r="J26" i="2"/>
  <c r="Q68" i="10"/>
  <c r="M68" i="2"/>
  <c r="O68" i="2" s="1"/>
  <c r="Q68" i="8"/>
  <c r="Q68" i="9"/>
  <c r="O68" i="9"/>
  <c r="O66" i="9"/>
  <c r="O38" i="10" l="1"/>
  <c r="P38" i="10" s="1"/>
  <c r="O63" i="10"/>
  <c r="P63" i="10" s="1"/>
  <c r="O56" i="2"/>
  <c r="P56" i="2" s="1"/>
  <c r="O18" i="10"/>
  <c r="P18" i="10" s="1"/>
  <c r="M18" i="8"/>
  <c r="Q18" i="8" s="1"/>
  <c r="F18" i="8"/>
  <c r="O56" i="8"/>
  <c r="P56" i="8" s="1"/>
  <c r="O38" i="9"/>
  <c r="P38" i="9" s="1"/>
  <c r="F18" i="2"/>
  <c r="M18" i="2"/>
  <c r="Q18" i="2" s="1"/>
  <c r="O38" i="2"/>
  <c r="P38" i="2" s="1"/>
  <c r="O44" i="8"/>
  <c r="P44" i="8" s="1"/>
  <c r="O44" i="9"/>
  <c r="P44" i="9" s="1"/>
  <c r="M30" i="9"/>
  <c r="Q30" i="9" s="1"/>
  <c r="O30" i="9" s="1"/>
  <c r="P30" i="9" s="1"/>
  <c r="D26" i="1"/>
  <c r="J24" i="2"/>
  <c r="J30" i="2" s="1"/>
  <c r="J24" i="8"/>
  <c r="J30" i="8" s="1"/>
  <c r="D25" i="1"/>
  <c r="H25" i="1" s="1"/>
  <c r="J24" i="10"/>
  <c r="J30" i="10" s="1"/>
  <c r="H26" i="1" l="1"/>
  <c r="Q13" i="8" s="1"/>
  <c r="Q16" i="2"/>
  <c r="O16" i="2" s="1"/>
  <c r="P16" i="2" s="1"/>
  <c r="O18" i="8"/>
  <c r="P18" i="8" s="1"/>
  <c r="O18" i="2"/>
  <c r="P18" i="2" s="1"/>
  <c r="M30" i="8"/>
  <c r="Q30" i="8" s="1"/>
  <c r="O30" i="8" s="1"/>
  <c r="P30" i="8" s="1"/>
  <c r="M30" i="10"/>
  <c r="Q30" i="10" s="1"/>
  <c r="O30" i="10" s="1"/>
  <c r="P30" i="10" s="1"/>
  <c r="M30" i="2"/>
  <c r="Q30" i="2" s="1"/>
  <c r="O30" i="2" s="1"/>
  <c r="P30" i="2" s="1"/>
  <c r="O11" i="8" l="1"/>
  <c r="M13" i="10"/>
  <c r="M11" i="10"/>
  <c r="M11" i="2"/>
  <c r="J10" i="9"/>
  <c r="H10" i="9" s="1"/>
  <c r="Q11" i="10"/>
  <c r="J13" i="2"/>
  <c r="Q13" i="10"/>
  <c r="J16" i="9"/>
  <c r="H16" i="9" s="1"/>
  <c r="M13" i="2"/>
  <c r="J12" i="9"/>
  <c r="M16" i="8"/>
  <c r="Q11" i="8"/>
  <c r="P14" i="8" s="1"/>
  <c r="O14" i="8" s="1"/>
  <c r="M12" i="9"/>
  <c r="M13" i="8"/>
  <c r="Q16" i="9"/>
  <c r="O16" i="9" s="1"/>
  <c r="P16" i="9" s="1"/>
  <c r="M11" i="8"/>
  <c r="O13" i="10"/>
  <c r="P13" i="10" s="1"/>
  <c r="O13" i="8"/>
  <c r="P13" i="8" s="1"/>
  <c r="M16" i="10"/>
  <c r="O11" i="10"/>
  <c r="P11" i="10" s="1"/>
  <c r="M10" i="9"/>
  <c r="J11" i="2"/>
  <c r="J16" i="2"/>
  <c r="P11" i="8"/>
  <c r="M16" i="9" l="1"/>
  <c r="F16" i="9"/>
  <c r="Q10" i="9"/>
  <c r="P14" i="10"/>
  <c r="O14" i="10" s="1"/>
  <c r="N70" i="10" s="1"/>
  <c r="N74" i="10" s="1"/>
  <c r="F10" i="9"/>
  <c r="Q12" i="9"/>
  <c r="F12" i="9"/>
  <c r="H12" i="9"/>
  <c r="N70" i="8"/>
  <c r="N74" i="8" s="1"/>
  <c r="Q13" i="2"/>
  <c r="F13" i="2"/>
  <c r="H13" i="2"/>
  <c r="M16" i="2"/>
  <c r="F16" i="2"/>
  <c r="H16" i="2"/>
  <c r="H11" i="2"/>
  <c r="F11" i="2"/>
  <c r="Q11" i="2"/>
  <c r="O12" i="9" l="1"/>
  <c r="P12" i="9" s="1"/>
  <c r="M71" i="10"/>
  <c r="O10" i="9"/>
  <c r="P10" i="9" s="1"/>
  <c r="P13" i="9"/>
  <c r="O13" i="9" s="1"/>
  <c r="O11" i="2"/>
  <c r="P11" i="2" s="1"/>
  <c r="O13" i="2"/>
  <c r="P13" i="2" s="1"/>
  <c r="P15" i="2"/>
  <c r="O15" i="2" s="1"/>
  <c r="N70" i="9" l="1"/>
  <c r="N74" i="9" s="1"/>
  <c r="N70" i="2"/>
  <c r="N74" i="2" s="1"/>
  <c r="M71" i="9" l="1"/>
</calcChain>
</file>

<file path=xl/sharedStrings.xml><?xml version="1.0" encoding="utf-8"?>
<sst xmlns="http://schemas.openxmlformats.org/spreadsheetml/2006/main" count="518" uniqueCount="150">
  <si>
    <t>ESTIMATING EXCEPTIONAL CHILD UNIT APPROVALS</t>
  </si>
  <si>
    <t>ELEMENTARY</t>
  </si>
  <si>
    <t>1.</t>
  </si>
  <si>
    <t>2.</t>
  </si>
  <si>
    <t>C</t>
  </si>
  <si>
    <t>(Do not include border students)</t>
  </si>
  <si>
    <t>3.</t>
  </si>
  <si>
    <t>Elementary exceptional students eligible</t>
  </si>
  <si>
    <t>for tuition equivalency allowance</t>
  </si>
  <si>
    <t>4.</t>
  </si>
  <si>
    <t>Line 1 + Line 2 - Line 3</t>
  </si>
  <si>
    <t>5.</t>
  </si>
  <si>
    <t>Line 4 x 6%</t>
  </si>
  <si>
    <t>6.</t>
  </si>
  <si>
    <t>students approved for special education unit funding</t>
  </si>
  <si>
    <t>=</t>
  </si>
  <si>
    <t>% of</t>
  </si>
  <si>
    <t>Total</t>
  </si>
  <si>
    <t>SECONDARY</t>
  </si>
  <si>
    <t>7.</t>
  </si>
  <si>
    <t>students, grades 7-12</t>
  </si>
  <si>
    <t>(Do not include alternative school,</t>
  </si>
  <si>
    <t>detention center, or border students)</t>
  </si>
  <si>
    <t>8.</t>
  </si>
  <si>
    <t>juvenile detention center students)</t>
  </si>
  <si>
    <t>9.</t>
  </si>
  <si>
    <t>Line 7 - line 8</t>
  </si>
  <si>
    <t>10.</t>
  </si>
  <si>
    <t>Line 9 x 5.5%</t>
  </si>
  <si>
    <t>11.</t>
  </si>
  <si>
    <t>Line 8 + line 10 = the number of secondary</t>
  </si>
  <si>
    <t>students approved for special education unit funding.</t>
  </si>
  <si>
    <t>PRESCHOOL</t>
  </si>
  <si>
    <t>12.</t>
  </si>
  <si>
    <t xml:space="preserve">        then divide by 16 hours.  No student</t>
  </si>
  <si>
    <t xml:space="preserve">        will be approved for more than 1 FTE</t>
  </si>
  <si>
    <t>b.     Total all Preschool FTE approvals</t>
  </si>
  <si>
    <t xml:space="preserve">        Line 12(b) equals the number of preschool</t>
  </si>
  <si>
    <t xml:space="preserve">        exceptional students approved for unit funding.</t>
  </si>
  <si>
    <t>ADMINISTRATIVE UNITS</t>
  </si>
  <si>
    <t>Kindergarten Administrative</t>
  </si>
  <si>
    <t>Elementary Administrative</t>
  </si>
  <si>
    <t>Grades 1-3</t>
  </si>
  <si>
    <t>Grades 4-6</t>
  </si>
  <si>
    <t>Grades 1-6</t>
  </si>
  <si>
    <t>Secondary Administrative</t>
  </si>
  <si>
    <t>SEPARATE ATTENDANCE UNITS</t>
  </si>
  <si>
    <t>EXCEPTIONAL CHILD UNITS</t>
  </si>
  <si>
    <t>Preschool Approvals</t>
  </si>
  <si>
    <t>Elementary Approvals</t>
  </si>
  <si>
    <t>Secondary Approvals</t>
  </si>
  <si>
    <t>Juvenile Detention Center A.D.A</t>
  </si>
  <si>
    <t>Total Exceptional A.D.A</t>
  </si>
  <si>
    <t>¸</t>
  </si>
  <si>
    <t>Line 3 + Line 5 = the number of elementary</t>
  </si>
  <si>
    <r>
      <t xml:space="preserve">tuition equivalency allowance </t>
    </r>
    <r>
      <rPr>
        <sz val="10"/>
        <rFont val="Arial"/>
        <family val="2"/>
      </rPr>
      <t>(other than</t>
    </r>
  </si>
  <si>
    <r>
      <t xml:space="preserve">a.     For </t>
    </r>
    <r>
      <rPr>
        <u/>
        <sz val="12"/>
        <rFont val="Arial"/>
        <family val="2"/>
      </rPr>
      <t>each</t>
    </r>
    <r>
      <rPr>
        <sz val="12"/>
        <rFont val="Arial"/>
        <family val="2"/>
      </rPr>
      <t xml:space="preserve"> exceptional preschool</t>
    </r>
  </si>
  <si>
    <r>
      <t xml:space="preserve">        minutes </t>
    </r>
    <r>
      <rPr>
        <u/>
        <sz val="12"/>
        <rFont val="Arial"/>
        <family val="2"/>
      </rPr>
      <t>per week</t>
    </r>
    <r>
      <rPr>
        <sz val="12"/>
        <rFont val="Arial"/>
        <family val="2"/>
      </rPr>
      <t xml:space="preserve"> of direct service;</t>
    </r>
  </si>
  <si>
    <r>
      <t xml:space="preserve">Secondary </t>
    </r>
    <r>
      <rPr>
        <u/>
        <sz val="12"/>
        <rFont val="Arial"/>
        <family val="2"/>
      </rPr>
      <t>exeptional</t>
    </r>
    <r>
      <rPr>
        <sz val="12"/>
        <rFont val="Arial"/>
        <family val="2"/>
      </rPr>
      <t xml:space="preserve"> students eligible for</t>
    </r>
  </si>
  <si>
    <t xml:space="preserve">Kindergarten </t>
  </si>
  <si>
    <t xml:space="preserve">Secondary </t>
  </si>
  <si>
    <t>Estimated Fall Enrollment</t>
  </si>
  <si>
    <t>Elementary</t>
  </si>
  <si>
    <t>Secondary</t>
  </si>
  <si>
    <t>grades 4-6 Portion</t>
  </si>
  <si>
    <t>X</t>
  </si>
  <si>
    <t>grades 1-3 Portion</t>
  </si>
  <si>
    <t>6.a</t>
  </si>
  <si>
    <t>6.b</t>
  </si>
  <si>
    <t>KINDERGARTEN</t>
  </si>
  <si>
    <t>Low</t>
  </si>
  <si>
    <t>Elementary grades 1-3</t>
  </si>
  <si>
    <t>Unit</t>
  </si>
  <si>
    <t>Elementary grades 4-6</t>
  </si>
  <si>
    <t>Exceptional Education</t>
  </si>
  <si>
    <t>Building 1</t>
  </si>
  <si>
    <t>Building 2</t>
  </si>
  <si>
    <t>Building 3</t>
  </si>
  <si>
    <t>Elementary grades 1-6</t>
  </si>
  <si>
    <t>BEST 28 WEEKS</t>
  </si>
  <si>
    <t>Without Secondary Special Education Approvals</t>
  </si>
  <si>
    <t>SECONDARY LESS THAN 99.99</t>
  </si>
  <si>
    <t>high grade</t>
  </si>
  <si>
    <t>units</t>
  </si>
  <si>
    <t>Minimum</t>
  </si>
  <si>
    <t>Current Year Support Unit Calculation</t>
  </si>
  <si>
    <t>A.D.A</t>
  </si>
  <si>
    <r>
      <t xml:space="preserve">Unit      </t>
    </r>
    <r>
      <rPr>
        <u/>
        <sz val="10"/>
        <rFont val="Arial"/>
        <family val="2"/>
      </rPr>
      <t>Divisor</t>
    </r>
  </si>
  <si>
    <t>Support Units</t>
  </si>
  <si>
    <t>equals 300 or more:</t>
  </si>
  <si>
    <r>
      <t>Special</t>
    </r>
    <r>
      <rPr>
        <u/>
        <sz val="10"/>
        <rFont val="Arial"/>
        <family val="2"/>
      </rPr>
      <t xml:space="preserve">
Education</t>
    </r>
  </si>
  <si>
    <r>
      <t>Adjusted</t>
    </r>
    <r>
      <rPr>
        <u/>
        <sz val="10"/>
        <rFont val="Arial"/>
        <family val="2"/>
      </rPr>
      <t xml:space="preserve">
A.D.A</t>
    </r>
  </si>
  <si>
    <t xml:space="preserve">Exceptional Preschool </t>
  </si>
  <si>
    <t xml:space="preserve">Exceptional Elementary </t>
  </si>
  <si>
    <t xml:space="preserve">Exceptional Secondary </t>
  </si>
  <si>
    <t>-</t>
  </si>
  <si>
    <t>Exceptional Education Total</t>
  </si>
  <si>
    <t>Second copy for district without Secondary Special Education Approvals</t>
  </si>
  <si>
    <t xml:space="preserve">        student, total the number of hours and</t>
  </si>
  <si>
    <t>Building 4</t>
  </si>
  <si>
    <t>1</t>
  </si>
  <si>
    <t>2</t>
  </si>
  <si>
    <t>3</t>
  </si>
  <si>
    <t>4</t>
  </si>
  <si>
    <t>Use building 5 for a separate school with elementary greater than 300 ADA</t>
  </si>
  <si>
    <t>Building 5</t>
  </si>
  <si>
    <t>5</t>
  </si>
  <si>
    <t>less than 300:</t>
  </si>
  <si>
    <t>BUDGET WORKSHEETS</t>
  </si>
  <si>
    <t>Fall Enrollment, grades K-3</t>
  </si>
  <si>
    <t>Fall Enrollment, grades 4-6</t>
  </si>
  <si>
    <t>Fall enrollment for regular secondary</t>
  </si>
  <si>
    <t>Preschool Student Approvals</t>
  </si>
  <si>
    <t>TOTAL Estimated Support Units (Round to nearest hundredth)</t>
  </si>
  <si>
    <t>Estimated Final Units</t>
  </si>
  <si>
    <t xml:space="preserve">Estimate of Percentage of Reduction for Protection </t>
  </si>
  <si>
    <t>ALTERNATIVE SCHOOL UNITS</t>
  </si>
  <si>
    <t>Through Midterm Reporting Period</t>
  </si>
  <si>
    <t>*</t>
  </si>
  <si>
    <t>**</t>
  </si>
  <si>
    <t>Districts Only</t>
  </si>
  <si>
    <r>
      <t xml:space="preserve">Aggregated attendance hours </t>
    </r>
    <r>
      <rPr>
        <sz val="10"/>
        <rFont val="Calibri"/>
        <family val="2"/>
      </rPr>
      <t>÷</t>
    </r>
    <r>
      <rPr>
        <sz val="10"/>
        <rFont val="Arial"/>
        <family val="2"/>
      </rPr>
      <t xml:space="preserve"> days in session ÷ either 5 or 4 day a week program divisor</t>
    </r>
  </si>
  <si>
    <t>Alternative School Estimated ADA is based on the following calculation:</t>
  </si>
  <si>
    <t>(Use divisor of 5 for 5 day program. Use divisor of 6.25 for 4 day or less program )</t>
  </si>
  <si>
    <t>Summer Alternative School Estimated ADA is based on the following calculation:</t>
  </si>
  <si>
    <t>Aggregated attendance hours ÷ 225</t>
  </si>
  <si>
    <t>INPUT ESTIMATED INFORMATION</t>
  </si>
  <si>
    <t>Estimated ADA for Midterm Period</t>
  </si>
  <si>
    <t>Estimated ADA for Best 28 Weeks</t>
  </si>
  <si>
    <t>Separate Schools Attendance</t>
  </si>
  <si>
    <t>*Alternative School</t>
  </si>
  <si>
    <t>**Summer Alternative School</t>
  </si>
  <si>
    <t>Juvenile Detention Center</t>
  </si>
  <si>
    <t>Exceptional Students Eligible for Tuition Equivalency Allowance</t>
  </si>
  <si>
    <t>Exceptional Preschool</t>
  </si>
  <si>
    <t>Number of Preschool Students</t>
  </si>
  <si>
    <t>(estimated midterm %)</t>
  </si>
  <si>
    <t>(estimated B28 wks %)</t>
  </si>
  <si>
    <t>The purpose of this worksheet is to help estimate your 2023-2024 midterm and best 28 weeks support units. Entering information into the highlighted cells on this worksheet will populate the other worksheets in this file.</t>
  </si>
  <si>
    <t>Based on your historical attendance, enter your estimated average student attendance percentage for the 2023-2024 midterm reporting period (1st day of school thru 1st Friday in November).</t>
  </si>
  <si>
    <t>Based on your historical attendance, enter your estimated average student attendance percentage for the 2023-2024 best 28 weeks.</t>
  </si>
  <si>
    <t xml:space="preserve">Neither protected support units nor the cost of protection have been factored into these worksheets </t>
  </si>
  <si>
    <t>See the Attendance % Assistance worksheet for help.</t>
  </si>
  <si>
    <t>Estimating Average Attendance Percentages</t>
  </si>
  <si>
    <t>Hours &amp; minutes of service per student per week. Example: 8 hrs 40 mins entered as 8.67</t>
  </si>
  <si>
    <t>While support units for 2020-2021, 2021-2022, and 2022-2023 were calculated using Average Daily Attendance (ADA) based on Full-Time Equivalent Enrollment (FTE-E), FTE-E will not be used to calculate support units for the 2023-2024 school year.</t>
  </si>
  <si>
    <t>Support units for the 2023-2024 school year will be calculated using ADA based on Instructional/Seat Time (4.0 and 2.5 hours).</t>
  </si>
  <si>
    <t xml:space="preserve">If you do not have historical attendance rates readily available, consider using the guidance/reports below to estimate midterm and best 28 weeks average attendance percentages. </t>
  </si>
  <si>
    <r>
      <rPr>
        <u/>
        <sz val="11"/>
        <rFont val="Arial"/>
        <family val="2"/>
      </rPr>
      <t xml:space="preserve">Estimated midterm % </t>
    </r>
    <r>
      <rPr>
        <sz val="11"/>
        <rFont val="Arial"/>
        <family val="2"/>
      </rPr>
      <t xml:space="preserve">
1 - Pull from the ISEE portal the Attendance Current Year Support Unit Calculation report for the current midterm period.
2 - Add together the ADA Administrative Summary totals for Kindergarten, Elementary, and Secondary. If you have separate or alternative schools, also add in the Adjusted ADA of those schools (do not include any summer amounts). This sum will be your numerator.
3 - Pull from the ISEE portal the Net Enrollment report for the current midterm period.
4 - Add together the All Grades Net Totals. Then, subtract any preschool amounts. This will be your denominator.
5 - Divide numerator by denominator.
</t>
    </r>
    <r>
      <rPr>
        <u/>
        <sz val="11"/>
        <rFont val="Arial"/>
        <family val="2"/>
      </rPr>
      <t>Estimated B28 %</t>
    </r>
    <r>
      <rPr>
        <sz val="11"/>
        <rFont val="Arial"/>
        <family val="2"/>
      </rPr>
      <t xml:space="preserve">
1 - Pull from the ISEE portal the Attendance Current Year Support Unit Calculation for the best 28 weeks for the prior year.
2 - Add together the ADA Administrative Summary totals for Kindergarten, Elementary, and Secondary. If you have separate or alternative schools, also add in the Adjusted ADA of those schools (do not include any summer amounts). This sum will be your numerator.
3 - Pull from the SDE Secure Website the prior year NetEnrollmentAllYear.pdf report (found in the July folder).
4 - Add together the All Grades Net Totals. Then, subtract any preschool amounts. This will be your denominator.
5 - Divide numerator by denominator.</t>
    </r>
  </si>
  <si>
    <t>ADA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</si>
</sst>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2"/>
      <name val="Arial"/>
      <family val="2"/>
    </font>
    <font>
      <b/>
      <sz val="12"/>
      <name val="Arial"/>
      <family val="2"/>
    </font>
    <font>
      <u/>
      <sz val="10"/>
      <name val="Arial"/>
      <family val="2"/>
    </font>
    <font>
      <u/>
      <sz val="12"/>
      <name val="Arial"/>
      <family val="2"/>
    </font>
    <font>
      <sz val="10"/>
      <name val="Arial"/>
      <family val="2"/>
    </font>
    <font>
      <sz val="11"/>
      <name val="Arial"/>
      <family val="2"/>
    </font>
    <font>
      <sz val="12"/>
      <name val="Symbol"/>
      <family val="1"/>
      <charset val="2"/>
    </font>
    <font>
      <sz val="8"/>
      <name val="Arial"/>
      <family val="2"/>
    </font>
    <font>
      <sz val="10"/>
      <color indexed="48"/>
      <name val="Arial"/>
      <family val="2"/>
    </font>
    <font>
      <sz val="10"/>
      <color indexed="12"/>
      <name val="Arial"/>
      <family val="2"/>
    </font>
    <font>
      <sz val="10"/>
      <color indexed="10"/>
      <name val="Arial"/>
      <family val="2"/>
    </font>
    <font>
      <sz val="10"/>
      <color indexed="9"/>
      <name val="Arial"/>
      <family val="2"/>
    </font>
    <font>
      <sz val="10"/>
      <color indexed="9"/>
      <name val="Arial"/>
      <family val="2"/>
    </font>
    <font>
      <sz val="10"/>
      <name val="Arial"/>
      <family val="2"/>
    </font>
    <font>
      <sz val="16"/>
      <name val="Arial"/>
      <family val="2"/>
    </font>
    <font>
      <sz val="10"/>
      <name val="Calibri"/>
      <family val="2"/>
    </font>
    <font>
      <b/>
      <sz val="10"/>
      <name val="Arial"/>
      <family val="2"/>
    </font>
    <font>
      <i/>
      <sz val="10"/>
      <name val="Arial"/>
      <family val="2"/>
    </font>
    <font>
      <u/>
      <sz val="9"/>
      <name val="Arial"/>
      <family val="2"/>
    </font>
    <font>
      <u/>
      <sz val="11"/>
      <name val="Arial"/>
      <family val="2"/>
    </font>
    <font>
      <b/>
      <sz val="16"/>
      <color rgb="FFC00000"/>
      <name val="Arial"/>
      <family val="2"/>
    </font>
    <font>
      <sz val="10"/>
      <color rgb="FFC00000"/>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2">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9" fontId="14" fillId="0" borderId="0" applyFont="0" applyFill="0" applyBorder="0" applyAlignment="0" applyProtection="0"/>
  </cellStyleXfs>
  <cellXfs count="128">
    <xf numFmtId="0" fontId="0" fillId="0" borderId="0" xfId="0"/>
    <xf numFmtId="0" fontId="1" fillId="0" borderId="0" xfId="0" applyFont="1"/>
    <xf numFmtId="0" fontId="2" fillId="0" borderId="0" xfId="0" applyFont="1" applyAlignment="1">
      <alignment horizontal="center"/>
    </xf>
    <xf numFmtId="49" fontId="0" fillId="0" borderId="0" xfId="0" applyNumberFormat="1"/>
    <xf numFmtId="49" fontId="2" fillId="0" borderId="0" xfId="0" applyNumberFormat="1" applyFont="1"/>
    <xf numFmtId="0" fontId="0" fillId="0" borderId="0" xfId="0" applyBorder="1" applyAlignment="1"/>
    <xf numFmtId="0" fontId="0" fillId="0" borderId="0" xfId="0" applyBorder="1"/>
    <xf numFmtId="49" fontId="1" fillId="0" borderId="0" xfId="0" applyNumberFormat="1" applyFont="1"/>
    <xf numFmtId="0" fontId="1" fillId="0" borderId="0" xfId="0" applyFont="1" applyBorder="1" applyAlignment="1"/>
    <xf numFmtId="0" fontId="1" fillId="0" borderId="0" xfId="0" applyFont="1" applyBorder="1"/>
    <xf numFmtId="0" fontId="5" fillId="0" borderId="0" xfId="0" applyFont="1"/>
    <xf numFmtId="0" fontId="3" fillId="0" borderId="0" xfId="0" applyFont="1"/>
    <xf numFmtId="0" fontId="6" fillId="0" borderId="0" xfId="0" applyFont="1"/>
    <xf numFmtId="0" fontId="0" fillId="0" borderId="1" xfId="0" applyBorder="1" applyAlignment="1">
      <alignment horizontal="center"/>
    </xf>
    <xf numFmtId="49" fontId="2" fillId="0" borderId="0" xfId="0" applyNumberFormat="1" applyFont="1" applyAlignment="1">
      <alignment vertical="center"/>
    </xf>
    <xf numFmtId="49" fontId="0" fillId="0" borderId="0" xfId="0" applyNumberFormat="1" applyAlignment="1">
      <alignment horizontal="center"/>
    </xf>
    <xf numFmtId="0" fontId="0" fillId="0" borderId="0" xfId="0" applyBorder="1" applyAlignment="1">
      <alignment horizontal="center"/>
    </xf>
    <xf numFmtId="0" fontId="7"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10" fontId="5" fillId="0" borderId="1" xfId="0" applyNumberFormat="1" applyFont="1" applyBorder="1"/>
    <xf numFmtId="2" fontId="0" fillId="0" borderId="0" xfId="0" applyNumberFormat="1"/>
    <xf numFmtId="2" fontId="1" fillId="0" borderId="0" xfId="0" applyNumberFormat="1" applyFont="1"/>
    <xf numFmtId="10" fontId="1" fillId="0" borderId="0" xfId="0" applyNumberFormat="1" applyFont="1"/>
    <xf numFmtId="0" fontId="1" fillId="0" borderId="0" xfId="0" applyFont="1" applyAlignment="1">
      <alignment horizontal="center"/>
    </xf>
    <xf numFmtId="2" fontId="1" fillId="0" borderId="0" xfId="0" applyNumberFormat="1" applyFont="1" applyAlignment="1">
      <alignment horizontal="center"/>
    </xf>
    <xf numFmtId="4" fontId="0" fillId="0" borderId="0" xfId="0" applyNumberFormat="1"/>
    <xf numFmtId="4" fontId="0" fillId="0" borderId="0" xfId="0" applyNumberFormat="1" applyBorder="1"/>
    <xf numFmtId="4" fontId="0" fillId="0" borderId="2" xfId="0" applyNumberFormat="1" applyBorder="1"/>
    <xf numFmtId="4" fontId="0" fillId="0" borderId="0" xfId="0" applyNumberFormat="1" applyBorder="1" applyAlignment="1">
      <alignment horizontal="center"/>
    </xf>
    <xf numFmtId="4" fontId="0" fillId="0" borderId="1" xfId="0" applyNumberFormat="1" applyBorder="1" applyAlignment="1">
      <alignment horizontal="center"/>
    </xf>
    <xf numFmtId="0" fontId="8" fillId="0" borderId="0" xfId="0" applyFont="1" applyAlignment="1">
      <alignment horizontal="left" wrapText="1"/>
    </xf>
    <xf numFmtId="0" fontId="2" fillId="0" borderId="0" xfId="0" applyFont="1" applyAlignment="1">
      <alignment horizontal="center" vertical="center"/>
    </xf>
    <xf numFmtId="0" fontId="0" fillId="0" borderId="1" xfId="0" applyBorder="1" applyAlignment="1"/>
    <xf numFmtId="0" fontId="0" fillId="0" borderId="0" xfId="0" applyAlignment="1"/>
    <xf numFmtId="49" fontId="3" fillId="0" borderId="0" xfId="0" applyNumberFormat="1" applyFont="1" applyAlignment="1">
      <alignment horizontal="center" wrapText="1"/>
    </xf>
    <xf numFmtId="0" fontId="3" fillId="0" borderId="0" xfId="0" applyFont="1" applyBorder="1" applyAlignment="1">
      <alignment horizontal="center"/>
    </xf>
    <xf numFmtId="0" fontId="5" fillId="0" borderId="0" xfId="0" applyFont="1" applyBorder="1" applyAlignment="1">
      <alignment horizontal="center" wrapText="1"/>
    </xf>
    <xf numFmtId="0" fontId="0" fillId="0" borderId="1" xfId="0" applyBorder="1"/>
    <xf numFmtId="3" fontId="11" fillId="2" borderId="0" xfId="0" applyNumberFormat="1" applyFont="1" applyFill="1" applyAlignment="1" applyProtection="1">
      <alignment horizontal="center"/>
    </xf>
    <xf numFmtId="0" fontId="12" fillId="0" borderId="0" xfId="0" applyFont="1"/>
    <xf numFmtId="0" fontId="10" fillId="2" borderId="0" xfId="0" applyFont="1" applyFill="1" applyAlignment="1" applyProtection="1">
      <alignment horizontal="center"/>
    </xf>
    <xf numFmtId="0" fontId="5" fillId="0" borderId="0" xfId="0" applyFont="1" applyAlignment="1">
      <alignment horizontal="center"/>
    </xf>
    <xf numFmtId="0" fontId="5" fillId="0" borderId="0" xfId="0" applyFont="1" applyAlignment="1">
      <alignment horizontal="right"/>
    </xf>
    <xf numFmtId="0" fontId="13" fillId="0" borderId="0" xfId="0" applyFont="1"/>
    <xf numFmtId="3" fontId="9" fillId="4" borderId="3" xfId="0" applyNumberFormat="1" applyFont="1" applyFill="1" applyBorder="1" applyAlignment="1" applyProtection="1">
      <alignment horizontal="center"/>
      <protection locked="0"/>
    </xf>
    <xf numFmtId="3" fontId="9" fillId="4" borderId="4" xfId="0" applyNumberFormat="1" applyFont="1" applyFill="1" applyBorder="1" applyAlignment="1" applyProtection="1">
      <alignment horizontal="center"/>
      <protection locked="0"/>
    </xf>
    <xf numFmtId="4" fontId="9" fillId="4" borderId="3" xfId="0" applyNumberFormat="1" applyFont="1" applyFill="1" applyBorder="1" applyAlignment="1" applyProtection="1">
      <alignment horizontal="center"/>
      <protection locked="0"/>
    </xf>
    <xf numFmtId="4" fontId="10" fillId="4" borderId="3" xfId="0" applyNumberFormat="1"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0" fillId="2" borderId="0" xfId="0" applyFill="1" applyAlignment="1" applyProtection="1">
      <alignment horizontal="center"/>
    </xf>
    <xf numFmtId="0" fontId="0" fillId="0" borderId="0" xfId="0" applyProtection="1"/>
    <xf numFmtId="0" fontId="0" fillId="0" borderId="0" xfId="0" applyAlignment="1" applyProtection="1">
      <alignment horizontal="right"/>
    </xf>
    <xf numFmtId="0" fontId="5" fillId="0" borderId="0" xfId="0" applyFont="1" applyProtection="1"/>
    <xf numFmtId="0" fontId="5" fillId="0" borderId="0" xfId="0" applyFont="1" applyAlignment="1" applyProtection="1">
      <alignment horizontal="left" indent="1"/>
    </xf>
    <xf numFmtId="0" fontId="19" fillId="0" borderId="0" xfId="0" applyFont="1" applyProtection="1"/>
    <xf numFmtId="0" fontId="0" fillId="0" borderId="0" xfId="0" applyFill="1" applyProtection="1"/>
    <xf numFmtId="0" fontId="0" fillId="2" borderId="0" xfId="0" applyFill="1" applyProtection="1"/>
    <xf numFmtId="0" fontId="3" fillId="0" borderId="0" xfId="0" applyFont="1" applyProtection="1"/>
    <xf numFmtId="49" fontId="5" fillId="3" borderId="0" xfId="0" applyNumberFormat="1" applyFont="1" applyFill="1" applyProtection="1"/>
    <xf numFmtId="0" fontId="0" fillId="3" borderId="0" xfId="0" applyFill="1" applyAlignment="1" applyProtection="1">
      <alignment wrapText="1"/>
    </xf>
    <xf numFmtId="4" fontId="9" fillId="3" borderId="7" xfId="0" applyNumberFormat="1" applyFont="1" applyFill="1" applyBorder="1" applyAlignment="1" applyProtection="1">
      <alignment horizontal="center"/>
    </xf>
    <xf numFmtId="49" fontId="3" fillId="0" borderId="0" xfId="0" applyNumberFormat="1" applyFont="1" applyProtection="1"/>
    <xf numFmtId="0" fontId="0" fillId="3" borderId="0" xfId="0" applyFill="1" applyProtection="1"/>
    <xf numFmtId="4" fontId="9" fillId="3" borderId="0" xfId="0" applyNumberFormat="1" applyFont="1" applyFill="1" applyBorder="1" applyAlignment="1" applyProtection="1">
      <alignment horizontal="center"/>
    </xf>
    <xf numFmtId="0" fontId="0" fillId="3" borderId="0" xfId="0" applyFill="1" applyBorder="1" applyProtection="1"/>
    <xf numFmtId="4" fontId="10" fillId="3" borderId="0" xfId="0" applyNumberFormat="1" applyFont="1" applyFill="1" applyBorder="1" applyAlignment="1" applyProtection="1">
      <alignment horizontal="center"/>
    </xf>
    <xf numFmtId="4" fontId="9" fillId="0" borderId="3" xfId="0" applyNumberFormat="1" applyFont="1" applyBorder="1" applyAlignment="1" applyProtection="1">
      <alignment horizontal="center"/>
    </xf>
    <xf numFmtId="4" fontId="10" fillId="0" borderId="3" xfId="0" applyNumberFormat="1" applyFont="1" applyBorder="1" applyAlignment="1" applyProtection="1">
      <alignment horizontal="center"/>
    </xf>
    <xf numFmtId="3" fontId="0" fillId="2" borderId="0" xfId="0" applyNumberFormat="1" applyFill="1" applyAlignment="1" applyProtection="1">
      <alignment horizontal="center"/>
    </xf>
    <xf numFmtId="0" fontId="6" fillId="0" borderId="0" xfId="0" applyFont="1" applyProtection="1"/>
    <xf numFmtId="0" fontId="1" fillId="0" borderId="3" xfId="0" applyFont="1" applyBorder="1" applyAlignment="1" applyProtection="1">
      <alignment wrapText="1"/>
    </xf>
    <xf numFmtId="0" fontId="15" fillId="0" borderId="0" xfId="0" applyFont="1" applyProtection="1"/>
    <xf numFmtId="9" fontId="5" fillId="0" borderId="0" xfId="0" applyNumberFormat="1" applyFont="1" applyAlignment="1" applyProtection="1">
      <alignment horizontal="center" wrapText="1"/>
    </xf>
    <xf numFmtId="0" fontId="1" fillId="0" borderId="7" xfId="0" applyFont="1" applyBorder="1" applyAlignment="1" applyProtection="1">
      <alignment wrapText="1"/>
    </xf>
    <xf numFmtId="0" fontId="0" fillId="5" borderId="0" xfId="0" applyFill="1" applyAlignment="1" applyProtection="1">
      <alignment horizontal="center"/>
      <protection locked="0"/>
    </xf>
    <xf numFmtId="0" fontId="0" fillId="2" borderId="0" xfId="0" applyFill="1" applyAlignment="1" applyProtection="1">
      <alignment horizontal="center"/>
      <protection locked="0"/>
    </xf>
    <xf numFmtId="0" fontId="0" fillId="5" borderId="0" xfId="0" applyFill="1" applyProtection="1">
      <protection locked="0"/>
    </xf>
    <xf numFmtId="0" fontId="0" fillId="2" borderId="0" xfId="0" applyFill="1" applyProtection="1">
      <protection locked="0"/>
    </xf>
    <xf numFmtId="0" fontId="0" fillId="3" borderId="0" xfId="0" applyFill="1" applyAlignment="1" applyProtection="1">
      <alignment horizontal="left" indent="4"/>
    </xf>
    <xf numFmtId="0" fontId="9" fillId="3" borderId="0" xfId="0" applyFont="1" applyFill="1" applyBorder="1" applyAlignment="1" applyProtection="1">
      <alignment horizontal="center"/>
      <protection locked="0"/>
    </xf>
    <xf numFmtId="0" fontId="5" fillId="6" borderId="0" xfId="0" applyFont="1" applyFill="1" applyBorder="1" applyAlignment="1" applyProtection="1">
      <alignment horizontal="center"/>
      <protection locked="0"/>
    </xf>
    <xf numFmtId="4" fontId="9" fillId="6" borderId="3" xfId="0" applyNumberFormat="1" applyFont="1" applyFill="1" applyBorder="1" applyAlignment="1" applyProtection="1">
      <alignment horizontal="center"/>
    </xf>
    <xf numFmtId="0" fontId="6" fillId="0" borderId="0" xfId="0" applyFont="1" applyAlignment="1" applyProtection="1">
      <alignment wrapText="1"/>
    </xf>
    <xf numFmtId="10" fontId="1" fillId="4" borderId="4" xfId="1" applyNumberFormat="1" applyFont="1" applyFill="1" applyBorder="1" applyAlignment="1" applyProtection="1">
      <alignment horizontal="center" vertical="center" wrapText="1"/>
      <protection locked="0"/>
    </xf>
    <xf numFmtId="10" fontId="1" fillId="4" borderId="9" xfId="1" applyNumberFormat="1" applyFont="1" applyFill="1" applyBorder="1" applyAlignment="1" applyProtection="1">
      <alignment horizontal="center" vertical="center" wrapText="1"/>
      <protection locked="0"/>
    </xf>
    <xf numFmtId="0" fontId="6" fillId="0" borderId="8" xfId="0" applyFont="1" applyBorder="1" applyAlignment="1" applyProtection="1">
      <alignment vertical="center" wrapText="1"/>
    </xf>
    <xf numFmtId="0" fontId="6" fillId="0" borderId="7" xfId="0" applyFont="1" applyBorder="1" applyAlignment="1" applyProtection="1">
      <alignment vertical="center" wrapText="1"/>
    </xf>
    <xf numFmtId="0" fontId="0" fillId="0" borderId="0" xfId="0" applyAlignment="1" applyProtection="1">
      <alignment horizontal="left" indent="4"/>
    </xf>
    <xf numFmtId="9" fontId="8" fillId="0" borderId="3" xfId="1" applyFont="1" applyBorder="1" applyAlignment="1" applyProtection="1">
      <alignment horizontal="center" vertical="top" wrapText="1"/>
    </xf>
    <xf numFmtId="9" fontId="15" fillId="0" borderId="11" xfId="1" applyFont="1" applyBorder="1" applyAlignment="1" applyProtection="1">
      <alignment horizontal="center" vertical="top" wrapText="1"/>
    </xf>
    <xf numFmtId="0" fontId="6" fillId="0" borderId="10" xfId="0" applyFont="1" applyBorder="1" applyAlignment="1" applyProtection="1">
      <alignment vertical="top" wrapText="1"/>
    </xf>
    <xf numFmtId="0" fontId="6" fillId="0" borderId="3" xfId="0" applyFont="1" applyBorder="1" applyAlignment="1" applyProtection="1">
      <alignment vertical="top" wrapText="1"/>
    </xf>
    <xf numFmtId="0" fontId="5" fillId="0" borderId="0" xfId="0" applyFont="1" applyAlignment="1" applyProtection="1">
      <alignment horizontal="left" wrapText="1" indent="4"/>
    </xf>
    <xf numFmtId="0" fontId="0" fillId="0" borderId="0" xfId="0" applyAlignment="1" applyProtection="1">
      <alignment horizontal="left" wrapText="1" indent="4"/>
    </xf>
    <xf numFmtId="3" fontId="11" fillId="2" borderId="0" xfId="0" applyNumberFormat="1" applyFont="1" applyFill="1" applyAlignment="1" applyProtection="1">
      <alignment horizontal="center"/>
    </xf>
    <xf numFmtId="0" fontId="5" fillId="0" borderId="0" xfId="0" applyFont="1" applyAlignment="1" applyProtection="1">
      <alignment horizontal="center" wrapText="1"/>
    </xf>
    <xf numFmtId="0" fontId="0" fillId="0" borderId="0" xfId="0" applyAlignment="1" applyProtection="1">
      <alignment horizontal="center" wrapText="1"/>
    </xf>
    <xf numFmtId="0" fontId="18" fillId="0" borderId="0" xfId="0" applyFont="1" applyAlignment="1" applyProtection="1">
      <alignment wrapText="1"/>
    </xf>
    <xf numFmtId="0" fontId="22" fillId="0" borderId="0" xfId="0" applyFont="1" applyAlignment="1" applyProtection="1">
      <alignment horizontal="center" vertical="center"/>
    </xf>
    <xf numFmtId="0" fontId="21" fillId="0" borderId="0" xfId="0" applyFont="1" applyAlignment="1" applyProtection="1">
      <alignment horizontal="center"/>
    </xf>
    <xf numFmtId="0" fontId="17" fillId="0" borderId="0" xfId="0" applyFont="1" applyFill="1" applyAlignment="1" applyProtection="1">
      <alignment horizontal="center"/>
    </xf>
    <xf numFmtId="0" fontId="6" fillId="0" borderId="8" xfId="0" applyFont="1" applyBorder="1" applyAlignment="1" applyProtection="1">
      <alignment wrapText="1"/>
    </xf>
    <xf numFmtId="0" fontId="6" fillId="0" borderId="7" xfId="0" applyFont="1" applyBorder="1" applyAlignment="1" applyProtection="1">
      <alignment wrapText="1"/>
    </xf>
    <xf numFmtId="0" fontId="15" fillId="0" borderId="0" xfId="0" applyFont="1" applyAlignment="1">
      <alignment horizontal="center"/>
    </xf>
    <xf numFmtId="0" fontId="6" fillId="0" borderId="0" xfId="0" applyFont="1" applyAlignment="1">
      <alignment wrapText="1"/>
    </xf>
    <xf numFmtId="0" fontId="0" fillId="0" borderId="0" xfId="0"/>
    <xf numFmtId="2" fontId="0" fillId="0" borderId="5" xfId="0" applyNumberFormat="1" applyBorder="1" applyAlignment="1">
      <alignment horizontal="center" vertical="center"/>
    </xf>
    <xf numFmtId="4" fontId="0" fillId="0" borderId="1" xfId="0" applyNumberFormat="1" applyBorder="1" applyAlignment="1">
      <alignment horizontal="center"/>
    </xf>
    <xf numFmtId="4" fontId="0" fillId="0" borderId="5" xfId="0" applyNumberFormat="1" applyBorder="1" applyAlignment="1">
      <alignment horizontal="center"/>
    </xf>
    <xf numFmtId="0" fontId="2" fillId="0" borderId="0" xfId="0" applyFont="1" applyAlignment="1">
      <alignment horizontal="center" vertical="center"/>
    </xf>
    <xf numFmtId="0" fontId="5" fillId="0" borderId="0" xfId="0" applyFont="1" applyBorder="1" applyAlignment="1">
      <alignment horizontal="center" wrapText="1"/>
    </xf>
    <xf numFmtId="0" fontId="0" fillId="0" borderId="0" xfId="0" applyBorder="1" applyAlignment="1">
      <alignment horizontal="center" wrapText="1"/>
    </xf>
    <xf numFmtId="0" fontId="0" fillId="0" borderId="1" xfId="0" applyBorder="1" applyAlignment="1"/>
    <xf numFmtId="2" fontId="1" fillId="0" borderId="5" xfId="0" applyNumberFormat="1" applyFont="1" applyBorder="1" applyAlignment="1">
      <alignment horizontal="center"/>
    </xf>
    <xf numFmtId="0" fontId="0" fillId="0" borderId="0" xfId="0" quotePrefix="1" applyFill="1" applyAlignment="1" applyProtection="1">
      <alignment horizontal="center"/>
      <protection hidden="1"/>
    </xf>
    <xf numFmtId="0" fontId="0" fillId="0" borderId="0" xfId="0" applyFill="1" applyAlignment="1" applyProtection="1">
      <alignment horizontal="center"/>
      <protection hidden="1"/>
    </xf>
    <xf numFmtId="49" fontId="2" fillId="0" borderId="0" xfId="0" applyNumberFormat="1" applyFont="1" applyAlignment="1">
      <alignment horizontal="center"/>
    </xf>
    <xf numFmtId="0" fontId="0" fillId="0" borderId="0" xfId="0" applyBorder="1" applyAlignment="1">
      <alignment horizontal="center"/>
    </xf>
    <xf numFmtId="0" fontId="8" fillId="0" borderId="0" xfId="0" applyFont="1" applyAlignment="1">
      <alignment horizontal="left" wrapText="1"/>
    </xf>
    <xf numFmtId="0" fontId="0" fillId="0" borderId="0" xfId="0" applyBorder="1" applyAlignment="1"/>
    <xf numFmtId="0" fontId="0" fillId="0" borderId="0" xfId="0" applyAlignment="1"/>
    <xf numFmtId="2" fontId="0" fillId="0" borderId="0" xfId="0" applyNumberFormat="1" applyBorder="1" applyAlignment="1">
      <alignment horizontal="center" vertical="center"/>
    </xf>
    <xf numFmtId="0" fontId="0" fillId="0" borderId="0" xfId="0" applyAlignment="1">
      <alignment horizontal="center" vertical="center"/>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4" fontId="1" fillId="0" borderId="6" xfId="0" applyNumberFormat="1" applyFont="1" applyBorder="1" applyAlignment="1">
      <alignment horizontal="center"/>
    </xf>
    <xf numFmtId="4" fontId="9" fillId="7" borderId="0" xfId="0" applyNumberFormat="1" applyFont="1" applyFill="1" applyBorder="1" applyAlignment="1" applyProtection="1">
      <alignment horizontal="center"/>
    </xf>
  </cellXfs>
  <cellStyles count="2">
    <cellStyle name="Normal" xfId="0" builtinId="0"/>
    <cellStyle name="Percent" xfId="1" builtinId="5"/>
  </cellStyles>
  <dxfs count="18">
    <dxf>
      <font>
        <condense val="0"/>
        <extend val="0"/>
        <color indexed="9"/>
      </font>
    </dxf>
    <dxf>
      <font>
        <b/>
        <i val="0"/>
        <condense val="0"/>
        <extend val="0"/>
        <color indexed="12"/>
      </font>
    </dxf>
    <dxf>
      <font>
        <b/>
        <i val="0"/>
        <condense val="0"/>
        <extend val="0"/>
        <color indexed="10"/>
      </font>
    </dxf>
    <dxf>
      <font>
        <condense val="0"/>
        <extend val="0"/>
        <color indexed="9"/>
      </font>
    </dxf>
    <dxf>
      <font>
        <condense val="0"/>
        <extend val="0"/>
        <color indexed="9"/>
      </font>
    </dxf>
    <dxf>
      <font>
        <b/>
        <i val="0"/>
        <condense val="0"/>
        <extend val="0"/>
        <color indexed="12"/>
      </font>
    </dxf>
    <dxf>
      <font>
        <b/>
        <i val="0"/>
        <condense val="0"/>
        <extend val="0"/>
        <color indexed="10"/>
      </font>
    </dxf>
    <dxf>
      <font>
        <condense val="0"/>
        <extend val="0"/>
        <color indexed="9"/>
      </font>
    </dxf>
    <dxf>
      <font>
        <strike val="0"/>
        <condense val="0"/>
        <extend val="0"/>
        <color indexed="9"/>
      </font>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1:H68"/>
  <sheetViews>
    <sheetView tabSelected="1" zoomScaleNormal="100" workbookViewId="0">
      <selection sqref="A1:H1"/>
    </sheetView>
  </sheetViews>
  <sheetFormatPr defaultRowHeight="12.75" x14ac:dyDescent="0.2"/>
  <cols>
    <col min="1" max="1" width="9.140625" style="51"/>
    <col min="2" max="2" width="24" style="51" customWidth="1"/>
    <col min="3" max="3" width="13.5703125" style="51" customWidth="1"/>
    <col min="4" max="4" width="3.140625" style="51" customWidth="1"/>
    <col min="5" max="5" width="14.7109375" style="51" customWidth="1"/>
    <col min="6" max="6" width="3.140625" style="51" customWidth="1"/>
    <col min="7" max="7" width="14.5703125" style="51" customWidth="1"/>
    <col min="8" max="8" width="3.140625" style="51" customWidth="1"/>
    <col min="9" max="16384" width="9.140625" style="51"/>
  </cols>
  <sheetData>
    <row r="1" spans="1:8" ht="20.25" x14ac:dyDescent="0.3">
      <c r="A1" s="100" t="s">
        <v>120</v>
      </c>
      <c r="B1" s="100"/>
      <c r="C1" s="100"/>
      <c r="D1" s="100"/>
      <c r="E1" s="100"/>
      <c r="F1" s="100"/>
      <c r="G1" s="100"/>
      <c r="H1" s="100"/>
    </row>
    <row r="2" spans="1:8" ht="18" customHeight="1" x14ac:dyDescent="0.2">
      <c r="A2" s="99" t="s">
        <v>141</v>
      </c>
      <c r="B2" s="99"/>
      <c r="C2" s="99"/>
      <c r="D2" s="99"/>
      <c r="E2" s="99"/>
      <c r="F2" s="99"/>
      <c r="G2" s="99"/>
      <c r="H2" s="99"/>
    </row>
    <row r="3" spans="1:8" ht="48" customHeight="1" x14ac:dyDescent="0.2">
      <c r="A3" s="83" t="s">
        <v>138</v>
      </c>
      <c r="B3" s="83"/>
      <c r="C3" s="83"/>
      <c r="D3" s="83"/>
      <c r="E3" s="83"/>
      <c r="F3" s="83"/>
      <c r="G3" s="83"/>
      <c r="H3" s="83"/>
    </row>
    <row r="4" spans="1:8" ht="48" customHeight="1" x14ac:dyDescent="0.2">
      <c r="A4" s="83" t="s">
        <v>145</v>
      </c>
      <c r="B4" s="83"/>
      <c r="C4" s="83"/>
      <c r="D4" s="83"/>
      <c r="E4" s="83"/>
      <c r="F4" s="83"/>
      <c r="G4" s="83"/>
      <c r="H4" s="83"/>
    </row>
    <row r="5" spans="1:8" ht="32.1" customHeight="1" thickBot="1" x14ac:dyDescent="0.25">
      <c r="A5" s="83" t="s">
        <v>146</v>
      </c>
      <c r="B5" s="83"/>
      <c r="C5" s="83"/>
      <c r="D5" s="83"/>
      <c r="E5" s="83"/>
      <c r="F5" s="83"/>
      <c r="G5" s="83"/>
      <c r="H5" s="83"/>
    </row>
    <row r="6" spans="1:8" ht="45.95" customHeight="1" thickBot="1" x14ac:dyDescent="0.25">
      <c r="A6" s="102" t="s">
        <v>139</v>
      </c>
      <c r="B6" s="103"/>
      <c r="C6" s="103"/>
      <c r="D6" s="103"/>
      <c r="E6" s="103"/>
      <c r="F6" s="74"/>
      <c r="G6" s="84"/>
      <c r="H6" s="85"/>
    </row>
    <row r="7" spans="1:8" ht="15.95" customHeight="1" thickBot="1" x14ac:dyDescent="0.25">
      <c r="A7" s="91" t="s">
        <v>142</v>
      </c>
      <c r="B7" s="92"/>
      <c r="C7" s="92"/>
      <c r="D7" s="92"/>
      <c r="E7" s="92"/>
      <c r="F7" s="71"/>
      <c r="G7" s="89" t="s">
        <v>136</v>
      </c>
      <c r="H7" s="90"/>
    </row>
    <row r="8" spans="1:8" ht="6" customHeight="1" thickBot="1" x14ac:dyDescent="0.35">
      <c r="A8" s="72"/>
      <c r="E8" s="73"/>
      <c r="G8" s="73"/>
    </row>
    <row r="9" spans="1:8" ht="45.95" customHeight="1" thickBot="1" x14ac:dyDescent="0.25">
      <c r="A9" s="86" t="s">
        <v>140</v>
      </c>
      <c r="B9" s="87"/>
      <c r="C9" s="87"/>
      <c r="D9" s="87"/>
      <c r="E9" s="87"/>
      <c r="F9" s="74"/>
      <c r="G9" s="84"/>
      <c r="H9" s="85"/>
    </row>
    <row r="10" spans="1:8" ht="15.95" customHeight="1" thickBot="1" x14ac:dyDescent="0.25">
      <c r="A10" s="91" t="s">
        <v>142</v>
      </c>
      <c r="B10" s="92"/>
      <c r="C10" s="92"/>
      <c r="D10" s="92"/>
      <c r="E10" s="92"/>
      <c r="F10" s="71"/>
      <c r="G10" s="89" t="s">
        <v>137</v>
      </c>
      <c r="H10" s="90"/>
    </row>
    <row r="11" spans="1:8" ht="6" customHeight="1" x14ac:dyDescent="0.3">
      <c r="A11" s="72"/>
      <c r="E11" s="73"/>
      <c r="G11" s="73"/>
    </row>
    <row r="12" spans="1:8" ht="15.75" customHeight="1" x14ac:dyDescent="0.2">
      <c r="A12" s="101" t="s">
        <v>126</v>
      </c>
      <c r="B12" s="101"/>
      <c r="C12" s="97" t="s">
        <v>61</v>
      </c>
      <c r="D12" s="57"/>
      <c r="E12" s="96" t="s">
        <v>127</v>
      </c>
      <c r="F12" s="57"/>
      <c r="G12" s="96" t="s">
        <v>128</v>
      </c>
      <c r="H12" s="57"/>
    </row>
    <row r="13" spans="1:8" ht="24.95" customHeight="1" x14ac:dyDescent="0.2">
      <c r="A13" s="57"/>
      <c r="B13" s="57"/>
      <c r="C13" s="97"/>
      <c r="D13" s="57"/>
      <c r="E13" s="97"/>
      <c r="F13" s="57"/>
      <c r="G13" s="97"/>
      <c r="H13" s="57"/>
    </row>
    <row r="14" spans="1:8" ht="13.5" thickBot="1" x14ac:dyDescent="0.25">
      <c r="A14" s="58" t="s">
        <v>40</v>
      </c>
      <c r="C14" s="45"/>
      <c r="D14" s="57"/>
      <c r="E14" s="67">
        <f>C14*$G$6</f>
        <v>0</v>
      </c>
      <c r="F14" s="57"/>
      <c r="G14" s="68">
        <f>C14*$G$9</f>
        <v>0</v>
      </c>
      <c r="H14" s="57"/>
    </row>
    <row r="15" spans="1:8" x14ac:dyDescent="0.2">
      <c r="A15" s="57"/>
      <c r="B15" s="57"/>
      <c r="C15" s="57"/>
      <c r="D15" s="57"/>
      <c r="E15" s="69"/>
      <c r="F15" s="57"/>
      <c r="G15" s="41"/>
      <c r="H15" s="57"/>
    </row>
    <row r="16" spans="1:8" x14ac:dyDescent="0.2">
      <c r="A16" s="58" t="s">
        <v>41</v>
      </c>
      <c r="C16" s="50"/>
      <c r="D16" s="57"/>
      <c r="E16" s="69"/>
      <c r="F16" s="57"/>
      <c r="G16" s="41"/>
      <c r="H16" s="57"/>
    </row>
    <row r="17" spans="1:8" ht="15" thickBot="1" x14ac:dyDescent="0.25">
      <c r="B17" s="70" t="s">
        <v>42</v>
      </c>
      <c r="C17" s="45"/>
      <c r="D17" s="57"/>
      <c r="E17" s="67">
        <f>C17*$G$6</f>
        <v>0</v>
      </c>
      <c r="F17" s="57"/>
      <c r="G17" s="68">
        <f>C17*$G$9</f>
        <v>0</v>
      </c>
      <c r="H17" s="57"/>
    </row>
    <row r="18" spans="1:8" ht="15" thickBot="1" x14ac:dyDescent="0.25">
      <c r="B18" s="70" t="s">
        <v>43</v>
      </c>
      <c r="C18" s="46"/>
      <c r="D18" s="57"/>
      <c r="E18" s="67">
        <f>C18*$G$6</f>
        <v>0</v>
      </c>
      <c r="F18" s="57"/>
      <c r="G18" s="68">
        <f>C18*$G$9</f>
        <v>0</v>
      </c>
      <c r="H18" s="57"/>
    </row>
    <row r="19" spans="1:8" x14ac:dyDescent="0.2">
      <c r="A19" s="57"/>
      <c r="B19" s="57"/>
      <c r="C19" s="57"/>
      <c r="D19" s="57"/>
      <c r="E19" s="69"/>
      <c r="F19" s="57"/>
      <c r="G19" s="41"/>
      <c r="H19" s="57"/>
    </row>
    <row r="20" spans="1:8" ht="13.5" thickBot="1" x14ac:dyDescent="0.25">
      <c r="A20" s="58" t="s">
        <v>45</v>
      </c>
      <c r="C20" s="45"/>
      <c r="D20" s="57"/>
      <c r="E20" s="67">
        <f>C20*$G$6</f>
        <v>0</v>
      </c>
      <c r="F20" s="57"/>
      <c r="G20" s="68">
        <f>C20*$G$9</f>
        <v>0</v>
      </c>
      <c r="H20" s="57"/>
    </row>
    <row r="21" spans="1:8" x14ac:dyDescent="0.2">
      <c r="A21" s="57"/>
      <c r="B21" s="57"/>
      <c r="C21" s="95"/>
      <c r="D21" s="95"/>
      <c r="E21" s="39" t="str">
        <f>IF(E20=0," ",IF(E20-'Exceptional Child Calc'!H43&lt;99.99,"Grade 7 thru"," "))</f>
        <v xml:space="preserve"> </v>
      </c>
      <c r="F21" s="75">
        <v>8</v>
      </c>
      <c r="G21" s="39" t="str">
        <f>IF(G20=0," ",IF(G20-'Exceptional Child Calc'!J43&lt;99.99,"Grade 7 thru"," "))</f>
        <v xml:space="preserve"> </v>
      </c>
      <c r="H21" s="76"/>
    </row>
    <row r="22" spans="1:8" x14ac:dyDescent="0.2">
      <c r="A22" s="62" t="s">
        <v>129</v>
      </c>
      <c r="C22" s="50"/>
      <c r="D22" s="57"/>
      <c r="E22" s="69"/>
      <c r="F22" s="57"/>
      <c r="G22" s="41"/>
      <c r="H22" s="57"/>
    </row>
    <row r="23" spans="1:8" ht="13.5" thickBot="1" x14ac:dyDescent="0.25">
      <c r="A23" s="51" t="s">
        <v>75</v>
      </c>
      <c r="B23" s="53" t="s">
        <v>59</v>
      </c>
      <c r="C23" s="45"/>
      <c r="D23" s="50"/>
      <c r="E23" s="67">
        <f>C23*$G$6</f>
        <v>0</v>
      </c>
      <c r="F23" s="57"/>
      <c r="G23" s="68">
        <f>C23*$G$9</f>
        <v>0</v>
      </c>
      <c r="H23" s="57"/>
    </row>
    <row r="24" spans="1:8" ht="13.5" thickBot="1" x14ac:dyDescent="0.25">
      <c r="B24" s="53" t="s">
        <v>44</v>
      </c>
      <c r="C24" s="46"/>
      <c r="D24" s="50"/>
      <c r="E24" s="67">
        <f>C24*$G$6</f>
        <v>0</v>
      </c>
      <c r="F24" s="57"/>
      <c r="G24" s="68">
        <f>C24*$G$9</f>
        <v>0</v>
      </c>
      <c r="H24" s="57"/>
    </row>
    <row r="25" spans="1:8" ht="13.5" thickBot="1" x14ac:dyDescent="0.25">
      <c r="B25" s="53" t="s">
        <v>60</v>
      </c>
      <c r="C25" s="45"/>
      <c r="D25" s="50"/>
      <c r="E25" s="67">
        <f>C25*$G$6</f>
        <v>0</v>
      </c>
      <c r="F25" s="57"/>
      <c r="G25" s="68">
        <f>C25*$G$9</f>
        <v>0</v>
      </c>
      <c r="H25" s="57"/>
    </row>
    <row r="26" spans="1:8" ht="12" customHeight="1" x14ac:dyDescent="0.2">
      <c r="B26" s="53"/>
      <c r="C26" s="95"/>
      <c r="D26" s="95"/>
      <c r="E26" s="39" t="str">
        <f>IF(E25=0," ",IF(E25&lt;99.99,"Grade 7 thru"," "))</f>
        <v xml:space="preserve"> </v>
      </c>
      <c r="F26" s="77"/>
      <c r="G26" s="39" t="str">
        <f>IF(G25=0," ",IF(G25&lt;99.99,"Grade 7 thru"," "))</f>
        <v xml:space="preserve"> </v>
      </c>
      <c r="H26" s="78"/>
    </row>
    <row r="27" spans="1:8" ht="13.5" thickBot="1" x14ac:dyDescent="0.25">
      <c r="A27" s="51" t="s">
        <v>76</v>
      </c>
      <c r="B27" s="53" t="s">
        <v>59</v>
      </c>
      <c r="C27" s="45"/>
      <c r="D27" s="50"/>
      <c r="E27" s="67">
        <f>C27*$G$6</f>
        <v>0</v>
      </c>
      <c r="F27" s="57"/>
      <c r="G27" s="68">
        <f>C27*$G$9</f>
        <v>0</v>
      </c>
      <c r="H27" s="57"/>
    </row>
    <row r="28" spans="1:8" ht="13.5" thickBot="1" x14ac:dyDescent="0.25">
      <c r="B28" s="53" t="s">
        <v>44</v>
      </c>
      <c r="C28" s="46"/>
      <c r="D28" s="50"/>
      <c r="E28" s="67">
        <f>C28*$G$6</f>
        <v>0</v>
      </c>
      <c r="F28" s="57"/>
      <c r="G28" s="68">
        <f>C28*$G$9</f>
        <v>0</v>
      </c>
      <c r="H28" s="57"/>
    </row>
    <row r="29" spans="1:8" ht="13.5" thickBot="1" x14ac:dyDescent="0.25">
      <c r="B29" s="53" t="s">
        <v>60</v>
      </c>
      <c r="C29" s="45"/>
      <c r="D29" s="50"/>
      <c r="E29" s="67">
        <f>C29*$G$6</f>
        <v>0</v>
      </c>
      <c r="F29" s="57"/>
      <c r="G29" s="68">
        <f>C29*$G$9</f>
        <v>0</v>
      </c>
      <c r="H29" s="57"/>
    </row>
    <row r="30" spans="1:8" ht="12.75" customHeight="1" x14ac:dyDescent="0.2">
      <c r="B30" s="53"/>
      <c r="C30" s="95" t="str">
        <f>IF($E$29=0," ",IF($E$29&lt;99.99,"Grades Served"," "))</f>
        <v xml:space="preserve"> </v>
      </c>
      <c r="D30" s="95"/>
      <c r="E30" s="39" t="str">
        <f>IF(E29=0," ",IF(E29&lt;99.99,"Grade 7 thru"," "))</f>
        <v xml:space="preserve"> </v>
      </c>
      <c r="F30" s="78"/>
      <c r="G30" s="39" t="str">
        <f>IF(G29=0," ",IF(G29&lt;99.99,"Grade 7 thru"," "))</f>
        <v xml:space="preserve"> </v>
      </c>
      <c r="H30" s="78"/>
    </row>
    <row r="31" spans="1:8" ht="13.5" thickBot="1" x14ac:dyDescent="0.25">
      <c r="A31" s="51" t="s">
        <v>77</v>
      </c>
      <c r="B31" s="53" t="s">
        <v>59</v>
      </c>
      <c r="C31" s="45"/>
      <c r="D31" s="50"/>
      <c r="E31" s="67">
        <f>C31*$G$6</f>
        <v>0</v>
      </c>
      <c r="F31" s="57"/>
      <c r="G31" s="68">
        <f>C31*$G$9</f>
        <v>0</v>
      </c>
      <c r="H31" s="57"/>
    </row>
    <row r="32" spans="1:8" ht="13.5" thickBot="1" x14ac:dyDescent="0.25">
      <c r="B32" s="53" t="s">
        <v>44</v>
      </c>
      <c r="C32" s="46"/>
      <c r="D32" s="50"/>
      <c r="E32" s="67">
        <f>C32*$G$6</f>
        <v>0</v>
      </c>
      <c r="F32" s="57"/>
      <c r="G32" s="68">
        <f>C32*$G$9</f>
        <v>0</v>
      </c>
      <c r="H32" s="57"/>
    </row>
    <row r="33" spans="1:8" ht="13.5" thickBot="1" x14ac:dyDescent="0.25">
      <c r="B33" s="53" t="s">
        <v>60</v>
      </c>
      <c r="C33" s="45"/>
      <c r="D33" s="50"/>
      <c r="E33" s="67">
        <f>C33*$G$6</f>
        <v>0</v>
      </c>
      <c r="F33" s="57"/>
      <c r="G33" s="68">
        <f>C33*$G$9</f>
        <v>0</v>
      </c>
      <c r="H33" s="57"/>
    </row>
    <row r="34" spans="1:8" ht="11.25" customHeight="1" x14ac:dyDescent="0.2">
      <c r="B34" s="53"/>
      <c r="C34" s="95" t="str">
        <f>IF($E$33=0," ",IF($E$33&lt;99.99,"Grades Served"," "))</f>
        <v xml:space="preserve"> </v>
      </c>
      <c r="D34" s="95"/>
      <c r="E34" s="39" t="str">
        <f>IF(E33=0," ",IF(E33&lt;99.99,"Grade 7 thru"," "))</f>
        <v xml:space="preserve"> </v>
      </c>
      <c r="F34" s="78"/>
      <c r="G34" s="39" t="str">
        <f>IF(G33=0," ",IF(G33&lt;99.99,"Grade 7 thru"," "))</f>
        <v xml:space="preserve"> </v>
      </c>
      <c r="H34" s="78"/>
    </row>
    <row r="35" spans="1:8" ht="13.5" thickBot="1" x14ac:dyDescent="0.25">
      <c r="A35" s="51" t="s">
        <v>99</v>
      </c>
      <c r="B35" s="53" t="s">
        <v>59</v>
      </c>
      <c r="C35" s="45"/>
      <c r="D35" s="50"/>
      <c r="E35" s="67">
        <f>C35*$G$6</f>
        <v>0</v>
      </c>
      <c r="F35" s="57"/>
      <c r="G35" s="68">
        <f>C35*$G$9</f>
        <v>0</v>
      </c>
      <c r="H35" s="57"/>
    </row>
    <row r="36" spans="1:8" ht="13.5" thickBot="1" x14ac:dyDescent="0.25">
      <c r="B36" s="53" t="s">
        <v>44</v>
      </c>
      <c r="C36" s="46"/>
      <c r="D36" s="50"/>
      <c r="E36" s="67">
        <f>C36*$G$6</f>
        <v>0</v>
      </c>
      <c r="F36" s="57"/>
      <c r="G36" s="68">
        <f>C36*$G$9</f>
        <v>0</v>
      </c>
      <c r="H36" s="57"/>
    </row>
    <row r="37" spans="1:8" ht="13.5" thickBot="1" x14ac:dyDescent="0.25">
      <c r="B37" s="53" t="s">
        <v>60</v>
      </c>
      <c r="C37" s="45"/>
      <c r="D37" s="50"/>
      <c r="E37" s="67">
        <f>C37*$G$6</f>
        <v>0</v>
      </c>
      <c r="F37" s="57"/>
      <c r="G37" s="68">
        <f>C37*$G$9</f>
        <v>0</v>
      </c>
      <c r="H37" s="57"/>
    </row>
    <row r="38" spans="1:8" ht="11.25" customHeight="1" x14ac:dyDescent="0.2">
      <c r="B38" s="53"/>
      <c r="C38" s="95" t="str">
        <f>IF($E$37=0," ",IF($E$37&lt;99.99,"Grades Served"," "))</f>
        <v xml:space="preserve"> </v>
      </c>
      <c r="D38" s="95"/>
      <c r="E38" s="39" t="str">
        <f>IF(E37=0," ",IF(E37&lt;99.99,"Grade 7 thru"," "))</f>
        <v xml:space="preserve"> </v>
      </c>
      <c r="F38" s="78"/>
      <c r="G38" s="39" t="str">
        <f>IF(G37=0," ",IF(G37&lt;99.99,"Grade 7 thru"," "))</f>
        <v xml:space="preserve"> </v>
      </c>
      <c r="H38" s="78"/>
    </row>
    <row r="39" spans="1:8" ht="24" customHeight="1" x14ac:dyDescent="0.2">
      <c r="A39" s="98" t="s">
        <v>104</v>
      </c>
      <c r="B39" s="98"/>
      <c r="C39" s="50"/>
      <c r="D39" s="50"/>
      <c r="E39" s="39"/>
      <c r="F39" s="95"/>
      <c r="G39" s="95"/>
      <c r="H39" s="50"/>
    </row>
    <row r="40" spans="1:8" ht="13.5" thickBot="1" x14ac:dyDescent="0.25">
      <c r="A40" s="51" t="s">
        <v>105</v>
      </c>
      <c r="B40" s="53" t="s">
        <v>59</v>
      </c>
      <c r="C40" s="45"/>
      <c r="D40" s="50"/>
      <c r="E40" s="67">
        <f>C40*$G$6</f>
        <v>0</v>
      </c>
      <c r="F40" s="57"/>
      <c r="G40" s="68">
        <f>C40*$G$9</f>
        <v>0</v>
      </c>
      <c r="H40" s="57"/>
    </row>
    <row r="41" spans="1:8" ht="13.5" thickBot="1" x14ac:dyDescent="0.25">
      <c r="B41" s="53" t="s">
        <v>42</v>
      </c>
      <c r="C41" s="46"/>
      <c r="D41" s="50"/>
      <c r="E41" s="67">
        <f>C41*$G$6</f>
        <v>0</v>
      </c>
      <c r="F41" s="57"/>
      <c r="G41" s="68">
        <f>C41*$G$9</f>
        <v>0</v>
      </c>
      <c r="H41" s="57"/>
    </row>
    <row r="42" spans="1:8" ht="12" customHeight="1" thickBot="1" x14ac:dyDescent="0.25">
      <c r="B42" s="53" t="s">
        <v>43</v>
      </c>
      <c r="C42" s="45"/>
      <c r="D42" s="50"/>
      <c r="E42" s="67">
        <f>C42*$G$6</f>
        <v>0</v>
      </c>
      <c r="F42" s="57"/>
      <c r="G42" s="68">
        <f>C42*$G$9</f>
        <v>0</v>
      </c>
      <c r="H42" s="57"/>
    </row>
    <row r="43" spans="1:8" ht="13.5" thickBot="1" x14ac:dyDescent="0.25">
      <c r="B43" s="53" t="s">
        <v>60</v>
      </c>
      <c r="C43" s="45"/>
      <c r="D43" s="50"/>
      <c r="E43" s="67">
        <f>C43*$G$6</f>
        <v>0</v>
      </c>
      <c r="F43" s="57"/>
      <c r="G43" s="68">
        <f>C43*$G$9</f>
        <v>0</v>
      </c>
      <c r="H43" s="57"/>
    </row>
    <row r="44" spans="1:8" x14ac:dyDescent="0.2">
      <c r="A44" s="57"/>
      <c r="B44" s="57"/>
      <c r="C44" s="95" t="str">
        <f>IF(E43=0," ",IF(E43&lt;99.99,"Grades Served"," "))</f>
        <v xml:space="preserve"> </v>
      </c>
      <c r="D44" s="95"/>
      <c r="E44" s="39" t="str">
        <f>IF(E43=0," ",IF(E43&lt;99.99,"Grade 7 thru"," "))</f>
        <v xml:space="preserve"> </v>
      </c>
      <c r="F44" s="78"/>
      <c r="G44" s="39" t="str">
        <f>IF(G43=0," ",IF(G43&lt;99.99,"Grade 7 thru"," "))</f>
        <v xml:space="preserve"> </v>
      </c>
      <c r="H44" s="78"/>
    </row>
    <row r="45" spans="1:8" ht="13.5" thickBot="1" x14ac:dyDescent="0.25">
      <c r="A45" s="62" t="s">
        <v>130</v>
      </c>
      <c r="C45" s="50"/>
      <c r="D45" s="57"/>
      <c r="E45" s="47"/>
      <c r="F45" s="57"/>
      <c r="G45" s="48"/>
      <c r="H45" s="57"/>
    </row>
    <row r="46" spans="1:8" x14ac:dyDescent="0.2">
      <c r="A46" s="59"/>
      <c r="B46" s="63"/>
      <c r="C46" s="50"/>
      <c r="D46" s="57"/>
      <c r="E46" s="64"/>
      <c r="F46" s="65"/>
      <c r="G46" s="66"/>
      <c r="H46" s="57"/>
    </row>
    <row r="47" spans="1:8" ht="13.5" thickBot="1" x14ac:dyDescent="0.25">
      <c r="A47" s="62" t="s">
        <v>131</v>
      </c>
      <c r="C47" s="50"/>
      <c r="D47" s="57"/>
      <c r="E47" s="47"/>
      <c r="F47" s="57"/>
      <c r="G47" s="82">
        <f>E47</f>
        <v>0</v>
      </c>
      <c r="H47" s="57"/>
    </row>
    <row r="48" spans="1:8" x14ac:dyDescent="0.2">
      <c r="A48" s="57"/>
      <c r="B48" s="57"/>
      <c r="C48" s="57"/>
      <c r="D48" s="57"/>
      <c r="E48" s="50"/>
      <c r="F48" s="57"/>
      <c r="G48" s="41"/>
      <c r="H48" s="57"/>
    </row>
    <row r="49" spans="1:8" x14ac:dyDescent="0.2">
      <c r="A49" s="62" t="s">
        <v>134</v>
      </c>
      <c r="C49" s="50"/>
      <c r="D49" s="57"/>
      <c r="E49" s="50"/>
      <c r="F49" s="57"/>
      <c r="G49" s="41"/>
      <c r="H49" s="57"/>
    </row>
    <row r="50" spans="1:8" ht="13.5" customHeight="1" thickBot="1" x14ac:dyDescent="0.25">
      <c r="A50" s="93" t="s">
        <v>135</v>
      </c>
      <c r="B50" s="94"/>
      <c r="C50" s="50"/>
      <c r="D50" s="57"/>
      <c r="E50" s="47"/>
      <c r="F50" s="57"/>
      <c r="G50" s="41"/>
      <c r="H50" s="57"/>
    </row>
    <row r="51" spans="1:8" x14ac:dyDescent="0.2">
      <c r="A51" s="59"/>
      <c r="B51" s="60"/>
      <c r="C51" s="50"/>
      <c r="D51" s="57"/>
      <c r="E51" s="61"/>
      <c r="F51" s="57"/>
      <c r="G51" s="41"/>
      <c r="H51" s="57"/>
    </row>
    <row r="52" spans="1:8" ht="39" customHeight="1" thickBot="1" x14ac:dyDescent="0.25">
      <c r="A52" s="93" t="s">
        <v>144</v>
      </c>
      <c r="B52" s="93"/>
      <c r="C52" s="50"/>
      <c r="D52" s="57"/>
      <c r="E52" s="47"/>
      <c r="F52" s="57"/>
      <c r="G52" s="41"/>
      <c r="H52" s="57"/>
    </row>
    <row r="53" spans="1:8" x14ac:dyDescent="0.2">
      <c r="A53" s="57"/>
      <c r="B53" s="57"/>
      <c r="C53" s="50"/>
      <c r="D53" s="57"/>
      <c r="E53" s="50"/>
      <c r="F53" s="57"/>
      <c r="G53" s="41"/>
      <c r="H53" s="57"/>
    </row>
    <row r="54" spans="1:8" ht="13.5" thickBot="1" x14ac:dyDescent="0.25">
      <c r="A54" s="58" t="s">
        <v>132</v>
      </c>
      <c r="C54" s="50"/>
      <c r="D54" s="57"/>
      <c r="E54" s="47"/>
      <c r="F54" s="57"/>
      <c r="G54" s="48"/>
      <c r="H54" s="57"/>
    </row>
    <row r="55" spans="1:8" x14ac:dyDescent="0.2">
      <c r="A55" s="50"/>
      <c r="B55" s="50"/>
      <c r="C55" s="50"/>
      <c r="D55" s="50"/>
      <c r="E55" s="50"/>
      <c r="F55" s="50"/>
      <c r="G55" s="50"/>
      <c r="H55" s="50"/>
    </row>
    <row r="56" spans="1:8" x14ac:dyDescent="0.2">
      <c r="A56" s="55" t="s">
        <v>133</v>
      </c>
      <c r="D56" s="56"/>
      <c r="E56" s="57"/>
      <c r="F56" s="50"/>
      <c r="G56" s="50"/>
      <c r="H56" s="50"/>
    </row>
    <row r="57" spans="1:8" ht="13.5" thickBot="1" x14ac:dyDescent="0.25">
      <c r="A57" s="88" t="s">
        <v>62</v>
      </c>
      <c r="B57" s="88"/>
      <c r="C57" s="49"/>
      <c r="D57" s="50"/>
      <c r="E57" s="50"/>
      <c r="F57" s="50"/>
      <c r="G57" s="50"/>
      <c r="H57" s="50"/>
    </row>
    <row r="58" spans="1:8" ht="13.5" thickBot="1" x14ac:dyDescent="0.25">
      <c r="A58" s="88" t="s">
        <v>63</v>
      </c>
      <c r="B58" s="88"/>
      <c r="C58" s="49"/>
      <c r="D58" s="50"/>
      <c r="E58" s="50"/>
      <c r="F58" s="50"/>
      <c r="G58" s="50"/>
      <c r="H58" s="50"/>
    </row>
    <row r="59" spans="1:8" x14ac:dyDescent="0.2">
      <c r="A59" s="79"/>
      <c r="B59" s="79"/>
      <c r="C59" s="80"/>
      <c r="D59" s="50"/>
      <c r="E59" s="50"/>
      <c r="F59" s="50"/>
      <c r="G59" s="50"/>
      <c r="H59" s="50"/>
    </row>
    <row r="60" spans="1:8" x14ac:dyDescent="0.2">
      <c r="A60" s="79"/>
      <c r="B60" s="79"/>
      <c r="C60" s="81" t="s">
        <v>149</v>
      </c>
      <c r="D60" s="50"/>
      <c r="E60" s="127">
        <f>E14+E17+E18+E20+E23+E24+E25+E27+E28+E29+E31+E32+E33+E35+E36+E37+E40+E41+E42+E43+E45+E54+((E50*E52)/16)</f>
        <v>0</v>
      </c>
      <c r="F60" s="50"/>
      <c r="G60" s="127">
        <f>G14+G17+G18+G20+G23+G24+G25+G27+G28+G29+G31+G32+G33+G35+G36+G37+G40+G41+G42+G43+G45+G54+((E50*E52)/16)</f>
        <v>0</v>
      </c>
      <c r="H60" s="50"/>
    </row>
    <row r="61" spans="1:8" x14ac:dyDescent="0.2">
      <c r="A61" s="50"/>
      <c r="B61" s="50"/>
      <c r="C61" s="50"/>
      <c r="D61" s="50"/>
      <c r="E61" s="50"/>
      <c r="F61" s="50"/>
      <c r="G61" s="50"/>
      <c r="H61" s="50"/>
    </row>
    <row r="63" spans="1:8" x14ac:dyDescent="0.2">
      <c r="A63" s="52" t="s">
        <v>118</v>
      </c>
      <c r="B63" s="53" t="s">
        <v>122</v>
      </c>
    </row>
    <row r="64" spans="1:8" x14ac:dyDescent="0.2">
      <c r="B64" s="54" t="s">
        <v>121</v>
      </c>
    </row>
    <row r="65" spans="1:2" x14ac:dyDescent="0.2">
      <c r="B65" s="54" t="s">
        <v>123</v>
      </c>
    </row>
    <row r="66" spans="1:2" x14ac:dyDescent="0.2">
      <c r="B66" s="53"/>
    </row>
    <row r="67" spans="1:2" x14ac:dyDescent="0.2">
      <c r="A67" s="52" t="s">
        <v>119</v>
      </c>
      <c r="B67" s="53" t="s">
        <v>124</v>
      </c>
    </row>
    <row r="68" spans="1:2" x14ac:dyDescent="0.2">
      <c r="B68" s="54" t="s">
        <v>125</v>
      </c>
    </row>
  </sheetData>
  <sheetProtection algorithmName="SHA-512" hashValue="u953C/fz+LFP8m4DuMU+UYuuCY9dfr8rnAKDDetXp6UXR0hsxYGJYe8J41OVNMW30Bl1L9OO0w5RMVwL8Up19w==" saltValue="4ZY+6fv+9N/9/nrlqVAhrg==" spinCount="100000" sheet="1" objects="1" scenarios="1"/>
  <mergeCells count="29">
    <mergeCell ref="A2:H2"/>
    <mergeCell ref="A1:H1"/>
    <mergeCell ref="F39:G39"/>
    <mergeCell ref="C34:D34"/>
    <mergeCell ref="C38:D38"/>
    <mergeCell ref="G12:G13"/>
    <mergeCell ref="C12:C13"/>
    <mergeCell ref="C21:D21"/>
    <mergeCell ref="C26:D26"/>
    <mergeCell ref="A12:B12"/>
    <mergeCell ref="C30:D30"/>
    <mergeCell ref="A5:H5"/>
    <mergeCell ref="A4:H4"/>
    <mergeCell ref="A6:E6"/>
    <mergeCell ref="A7:E7"/>
    <mergeCell ref="G7:H7"/>
    <mergeCell ref="A58:B58"/>
    <mergeCell ref="A50:B50"/>
    <mergeCell ref="A52:B52"/>
    <mergeCell ref="C44:D44"/>
    <mergeCell ref="E12:E13"/>
    <mergeCell ref="A39:B39"/>
    <mergeCell ref="A3:H3"/>
    <mergeCell ref="G6:H6"/>
    <mergeCell ref="A9:E9"/>
    <mergeCell ref="G9:H9"/>
    <mergeCell ref="A57:B57"/>
    <mergeCell ref="G10:H10"/>
    <mergeCell ref="A10:E10"/>
  </mergeCells>
  <phoneticPr fontId="0" type="noConversion"/>
  <conditionalFormatting sqref="H26 H44 F26 F30 F44 H30 H34 H38 F38">
    <cfRule type="expression" dxfId="17" priority="4" stopIfTrue="1">
      <formula>E25=0</formula>
    </cfRule>
    <cfRule type="expression" dxfId="16" priority="5" stopIfTrue="1">
      <formula>E25&lt;99.99</formula>
    </cfRule>
    <cfRule type="expression" dxfId="15" priority="6" stopIfTrue="1">
      <formula>E25&gt;99.99</formula>
    </cfRule>
  </conditionalFormatting>
  <conditionalFormatting sqref="F21 H21">
    <cfRule type="expression" dxfId="14" priority="7" stopIfTrue="1">
      <formula>E20=0</formula>
    </cfRule>
    <cfRule type="expression" dxfId="13" priority="8" stopIfTrue="1">
      <formula>E21="Grade 7 thru"</formula>
    </cfRule>
    <cfRule type="expression" dxfId="12" priority="9" stopIfTrue="1">
      <formula>E20&gt;99.99</formula>
    </cfRule>
  </conditionalFormatting>
  <conditionalFormatting sqref="F34">
    <cfRule type="expression" dxfId="11" priority="1" stopIfTrue="1">
      <formula>E33=0</formula>
    </cfRule>
    <cfRule type="expression" dxfId="10" priority="2" stopIfTrue="1">
      <formula>E33&lt;99.99</formula>
    </cfRule>
    <cfRule type="expression" dxfId="9" priority="3" stopIfTrue="1">
      <formula>E33&gt;99.99</formula>
    </cfRule>
  </conditionalFormatting>
  <pageMargins left="0.75" right="0.75" top="0.25" bottom="0.25" header="0.25" footer="0.15"/>
  <pageSetup paperSize="5" scale="94" fitToWidth="0" orientation="portrait" r:id="rId1"/>
  <headerFooter alignWithMargins="0">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A19F1-D8CB-4ABC-8D1C-D78CF9BDA219}">
  <dimension ref="A1:J3"/>
  <sheetViews>
    <sheetView zoomScaleNormal="100" workbookViewId="0">
      <selection sqref="A1:J1"/>
    </sheetView>
  </sheetViews>
  <sheetFormatPr defaultRowHeight="12.75" x14ac:dyDescent="0.2"/>
  <sheetData>
    <row r="1" spans="1:10" ht="20.25" x14ac:dyDescent="0.3">
      <c r="A1" s="104" t="s">
        <v>143</v>
      </c>
      <c r="B1" s="104"/>
      <c r="C1" s="104"/>
      <c r="D1" s="104"/>
      <c r="E1" s="104"/>
      <c r="F1" s="104"/>
      <c r="G1" s="104"/>
      <c r="H1" s="104"/>
      <c r="I1" s="104"/>
      <c r="J1" s="104"/>
    </row>
    <row r="2" spans="1:10" ht="32.1" customHeight="1" x14ac:dyDescent="0.2">
      <c r="A2" s="105" t="s">
        <v>147</v>
      </c>
      <c r="B2" s="105"/>
      <c r="C2" s="105"/>
      <c r="D2" s="105"/>
      <c r="E2" s="105"/>
      <c r="F2" s="105"/>
      <c r="G2" s="105"/>
      <c r="H2" s="105"/>
      <c r="I2" s="105"/>
      <c r="J2" s="105"/>
    </row>
    <row r="3" spans="1:10" ht="320.10000000000002" customHeight="1" x14ac:dyDescent="0.2">
      <c r="A3" s="105" t="s">
        <v>148</v>
      </c>
      <c r="B3" s="106"/>
      <c r="C3" s="106"/>
      <c r="D3" s="106"/>
      <c r="E3" s="106"/>
      <c r="F3" s="106"/>
      <c r="G3" s="106"/>
      <c r="H3" s="106"/>
      <c r="I3" s="106"/>
      <c r="J3" s="106"/>
    </row>
  </sheetData>
  <sheetProtection algorithmName="SHA-512" hashValue="1l/PSz0d6cTPoSpu0f6/ntjWcnp7/NvxM47f5r4Aw02PfOE37AqfMX3ttwB0cLPSUNQSIbkPAabn+1xJmtJgVg==" saltValue="9O9LdRmUfgbuzuetrsanMg==" spinCount="100000" sheet="1" objects="1" scenarios="1"/>
  <mergeCells count="3">
    <mergeCell ref="A1:J1"/>
    <mergeCell ref="A2:J2"/>
    <mergeCell ref="A3:J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5"/>
  <sheetViews>
    <sheetView showGridLines="0" zoomScale="90" zoomScaleNormal="90" workbookViewId="0"/>
  </sheetViews>
  <sheetFormatPr defaultRowHeight="12.75" x14ac:dyDescent="0.2"/>
  <cols>
    <col min="1" max="1" width="4.140625" style="3" customWidth="1"/>
    <col min="2" max="2" width="2.5703125" customWidth="1"/>
    <col min="5" max="5" width="5.85546875" customWidth="1"/>
    <col min="6" max="6" width="8.85546875" customWidth="1"/>
    <col min="7" max="7" width="3.140625" customWidth="1"/>
    <col min="8" max="8" width="10.140625" customWidth="1"/>
    <col min="9" max="9" width="3.8554687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8.85546875" style="44" customWidth="1"/>
  </cols>
  <sheetData>
    <row r="1" spans="1:17" ht="14.25" customHeight="1" x14ac:dyDescent="0.25">
      <c r="P1" s="2"/>
    </row>
    <row r="2" spans="1:17" ht="15.75" x14ac:dyDescent="0.2">
      <c r="A2" s="110" t="s">
        <v>85</v>
      </c>
      <c r="B2" s="110"/>
      <c r="C2" s="110"/>
      <c r="D2" s="110"/>
      <c r="E2" s="110"/>
      <c r="F2" s="110"/>
      <c r="G2" s="110"/>
      <c r="H2" s="110"/>
      <c r="I2" s="110"/>
      <c r="J2" s="110"/>
      <c r="K2" s="110"/>
      <c r="L2" s="110"/>
      <c r="M2" s="110"/>
      <c r="N2" s="110"/>
      <c r="O2" s="110"/>
    </row>
    <row r="3" spans="1:17" ht="15.75" x14ac:dyDescent="0.2">
      <c r="A3" s="110" t="s">
        <v>117</v>
      </c>
      <c r="B3" s="110"/>
      <c r="C3" s="110"/>
      <c r="D3" s="110"/>
      <c r="E3" s="110"/>
      <c r="F3" s="110"/>
      <c r="G3" s="110"/>
      <c r="H3" s="110"/>
      <c r="I3" s="110"/>
      <c r="J3" s="110"/>
      <c r="K3" s="110"/>
      <c r="L3" s="110"/>
      <c r="M3" s="110"/>
      <c r="N3" s="110"/>
      <c r="O3" s="110"/>
    </row>
    <row r="4" spans="1:17" ht="7.5" customHeight="1" x14ac:dyDescent="0.2"/>
    <row r="5" spans="1:17" ht="31.5" customHeight="1" x14ac:dyDescent="0.2">
      <c r="A5" s="14"/>
      <c r="F5" s="36" t="s">
        <v>86</v>
      </c>
      <c r="H5" s="37" t="s">
        <v>90</v>
      </c>
      <c r="I5" s="16"/>
      <c r="J5" s="111" t="s">
        <v>91</v>
      </c>
      <c r="K5" s="112"/>
      <c r="M5" s="19" t="s">
        <v>87</v>
      </c>
      <c r="O5" s="35" t="s">
        <v>88</v>
      </c>
    </row>
    <row r="6" spans="1:17" ht="6.75" customHeight="1" x14ac:dyDescent="0.2"/>
    <row r="7" spans="1:17" ht="15.75" x14ac:dyDescent="0.25">
      <c r="B7" s="11" t="s">
        <v>40</v>
      </c>
      <c r="F7" s="30" t="str">
        <f>IF('Enrollment Input'!$E$14=0,"0",'Enrollment Input'!$E$14)</f>
        <v>0</v>
      </c>
      <c r="G7" s="29"/>
      <c r="J7" s="108" t="str">
        <f>IF('Enrollment Input'!$E$14=0,"0",'Enrollment Input'!$E$14)</f>
        <v>0</v>
      </c>
      <c r="K7" s="108"/>
      <c r="L7" s="17" t="s">
        <v>53</v>
      </c>
      <c r="M7" s="13">
        <f>IF('Enrollment Input'!E14=0,0,LOOKUP(J7,criteria!$A$3:$A$10,criteria!$B$3:$B$10))</f>
        <v>0</v>
      </c>
      <c r="N7" s="15" t="s">
        <v>15</v>
      </c>
      <c r="O7" s="13">
        <f>IF(Q7=0,0,IF(Q7&lt;LOOKUP(J7,criteria!$A$3:$A$10,criteria!$C$3:$C$10),LOOKUP(J7,criteria!$A$3:$A$10,criteria!$C$3:$C$10),IF(LOOKUP(J7,criteria!$A$3:$A$10,criteria!$C$3:$C$10)=0,0,Q7)))</f>
        <v>0</v>
      </c>
      <c r="P7" s="10" t="str">
        <f>IF('Enrollment Input'!E14=0," ",IF(O7=0,"ADD to 1-6",IF(O7=Q7," ","Minimum")))</f>
        <v xml:space="preserve"> </v>
      </c>
      <c r="Q7" s="44">
        <f>ROUND(IF('Enrollment Input'!E14=0,0,IF(M7=0,0,(J7/M7))),2)</f>
        <v>0</v>
      </c>
    </row>
    <row r="8" spans="1:17" ht="6.75" customHeight="1" x14ac:dyDescent="0.2">
      <c r="J8" s="26"/>
      <c r="K8" s="26"/>
    </row>
    <row r="9" spans="1:17" x14ac:dyDescent="0.2">
      <c r="B9" s="11" t="s">
        <v>41</v>
      </c>
      <c r="J9" s="26"/>
      <c r="K9" s="26"/>
    </row>
    <row r="10" spans="1:17" x14ac:dyDescent="0.2">
      <c r="B10" s="10" t="s">
        <v>89</v>
      </c>
      <c r="J10" s="26"/>
      <c r="K10" s="26"/>
    </row>
    <row r="11" spans="1:17" ht="16.5" customHeight="1" x14ac:dyDescent="0.25">
      <c r="C11" s="12" t="s">
        <v>42</v>
      </c>
      <c r="F11" s="13" t="str">
        <f>IF(J11=0," ",IF($J$16&gt;300," ",'Enrollment Input'!E17))</f>
        <v xml:space="preserve"> </v>
      </c>
      <c r="G11" s="24" t="s">
        <v>95</v>
      </c>
      <c r="H11" s="30" t="str">
        <f>IF(J11=0," ",'Exceptional Child Calc'!H25)</f>
        <v xml:space="preserve"> </v>
      </c>
      <c r="I11" s="15" t="s">
        <v>15</v>
      </c>
      <c r="J11" s="108">
        <f>IF('Enrollment Input'!E17=0,0,IF(SUM('Enrollment Input'!E17-'Exceptional Child Calc'!H25)+SUM('Enrollment Input'!E18-'Exceptional Child Calc'!H26)&gt;299.99,SUM('Enrollment Input'!E17-'Exceptional Child Calc'!H25),0))</f>
        <v>0</v>
      </c>
      <c r="K11" s="108"/>
      <c r="L11" s="17" t="s">
        <v>53</v>
      </c>
      <c r="M11" s="13">
        <f>IF(SUM('Enrollment Input'!$E$17-'Exceptional Child Calc'!$H$25)+SUM('Enrollment Input'!$E$18-'Exceptional Child Calc'!$H$26)&gt;299.99,20,0)</f>
        <v>0</v>
      </c>
      <c r="N11" s="15" t="s">
        <v>15</v>
      </c>
      <c r="O11" s="13">
        <f>ROUND(IF(SUM('Enrollment Input'!$E$17-'Exceptional Child Calc'!$H$25)+SUM('Enrollment Input'!$E$18-'Exceptional Child Calc'!$H$26)&lt;299.99,0,IF(Q11+Q13&lt;15,0,(J11/M11))),2)</f>
        <v>0</v>
      </c>
      <c r="P11" t="str">
        <f>IF(O11=0," ",IF(O11=Q11," ","Minimum"))</f>
        <v xml:space="preserve"> </v>
      </c>
      <c r="Q11" s="44">
        <f>ROUND(IF(SUM('Enrollment Input'!$E$17-'Exceptional Child Calc'!$H$25)+SUM('Enrollment Input'!$E$18-'Exceptional Child Calc'!$H$26)&lt;299.99,0,(J11/M11)),2)</f>
        <v>0</v>
      </c>
    </row>
    <row r="12" spans="1:17" ht="9" customHeight="1" x14ac:dyDescent="0.2">
      <c r="B12" s="12"/>
      <c r="J12" s="26"/>
      <c r="K12" s="26"/>
    </row>
    <row r="13" spans="1:17" ht="15.75" x14ac:dyDescent="0.25">
      <c r="C13" s="12" t="s">
        <v>43</v>
      </c>
      <c r="F13" s="13" t="str">
        <f>IF(J13=0," ",IF($J$16&gt;300," ",'Enrollment Input'!E18))</f>
        <v xml:space="preserve"> </v>
      </c>
      <c r="G13" s="24" t="s">
        <v>95</v>
      </c>
      <c r="H13" s="30" t="str">
        <f>IF(J13=0," ",'Exceptional Child Calc'!H26)</f>
        <v xml:space="preserve"> </v>
      </c>
      <c r="I13" s="15" t="s">
        <v>15</v>
      </c>
      <c r="J13" s="108">
        <f>IF('Enrollment Input'!E18=0,0,IF(SUM('Enrollment Input'!E17-'Exceptional Child Calc'!H25)+SUM('Enrollment Input'!E18-'Exceptional Child Calc'!H26)&gt;299.99,SUM('Enrollment Input'!E18-'Exceptional Child Calc'!H26),0))</f>
        <v>0</v>
      </c>
      <c r="K13" s="108"/>
      <c r="L13" s="17" t="s">
        <v>53</v>
      </c>
      <c r="M13" s="13">
        <f>IF(SUM('Enrollment Input'!$E$17-'Exceptional Child Calc'!$H$25)+SUM('Enrollment Input'!$E$18-'Exceptional Child Calc'!$H$26)&gt;299.99,23,0)</f>
        <v>0</v>
      </c>
      <c r="N13" s="15" t="s">
        <v>15</v>
      </c>
      <c r="O13" s="13">
        <f>ROUND(IF(SUM('Enrollment Input'!$E$17-'Exceptional Child Calc'!$H$25)+SUM('Enrollment Input'!$E$18-'Exceptional Child Calc'!$H$26)&lt;299.99,0,IF(Q11+Q13&lt;15,0,($J$13/$M$13))),2)</f>
        <v>0</v>
      </c>
      <c r="P13" t="str">
        <f>IF(O13=0," ",IF(O13=Q13," ","Minimum"))</f>
        <v xml:space="preserve"> </v>
      </c>
      <c r="Q13" s="44">
        <f>ROUND(IF(SUM('Enrollment Input'!$E$17-'Exceptional Child Calc'!$H$25)+SUM('Enrollment Input'!$E$18-'Exceptional Child Calc'!$H$26)&lt;299.99,0,($J$13/$M$13)),2)</f>
        <v>0</v>
      </c>
    </row>
    <row r="14" spans="1:17" ht="17.25" customHeight="1" x14ac:dyDescent="0.2">
      <c r="B14" s="11" t="s">
        <v>41</v>
      </c>
      <c r="F14" s="16"/>
      <c r="G14" s="24"/>
      <c r="H14" s="29"/>
      <c r="I14" s="15"/>
      <c r="J14" s="29"/>
      <c r="K14" s="29"/>
      <c r="M14" s="16"/>
      <c r="N14" s="15"/>
      <c r="O14" s="16"/>
    </row>
    <row r="15" spans="1:17" x14ac:dyDescent="0.2">
      <c r="B15" s="10" t="s">
        <v>107</v>
      </c>
      <c r="O15" s="18" t="str">
        <f>IF(P15="Minimum",15," ")</f>
        <v xml:space="preserve"> </v>
      </c>
      <c r="P15" t="str">
        <f>IF(Q11+Q13=0," ",IF(Q11+Q13&lt;15,"Minimum"," "))</f>
        <v xml:space="preserve"> </v>
      </c>
    </row>
    <row r="16" spans="1:17" ht="15.75" x14ac:dyDescent="0.25">
      <c r="C16" s="12" t="s">
        <v>44</v>
      </c>
      <c r="F16" s="13" t="str">
        <f>IF(J16=0," ",IF(J16&lt;300,SUM('Enrollment Input'!E17+'Enrollment Input'!E18)," "))</f>
        <v xml:space="preserve"> </v>
      </c>
      <c r="G16" s="24" t="s">
        <v>95</v>
      </c>
      <c r="H16" s="30" t="str">
        <f>IF(J16=0," ",'Exceptional Child Calc'!H22)</f>
        <v xml:space="preserve"> </v>
      </c>
      <c r="I16" s="15" t="s">
        <v>15</v>
      </c>
      <c r="J16" s="108">
        <f>IF('Enrollment Input'!E17=0,0,IF(SUM('Enrollment Input'!E17-'Exceptional Child Calc'!H25)+SUM('Enrollment Input'!E18-'Exceptional Child Calc'!H26)&lt;300,IF(P7="ADD to 1-6",SUM('Enrollment Input'!E17-'Exceptional Child Calc'!H25)+SUM('Enrollment Input'!E18-'Exceptional Child Calc'!H26)+'Enrollment Input'!E14,SUM('Enrollment Input'!E17-'Exceptional Child Calc'!H25)+SUM('Enrollment Input'!E18-'Exceptional Child Calc'!H26)),0))</f>
        <v>0</v>
      </c>
      <c r="K16" s="108"/>
      <c r="L16" s="17" t="s">
        <v>53</v>
      </c>
      <c r="M16" s="13">
        <f>IF(J16=0,0,LOOKUP(J16,criteria!$M$3:$M$11,criteria!$N$3:$N$11))</f>
        <v>0</v>
      </c>
      <c r="N16" s="15" t="s">
        <v>15</v>
      </c>
      <c r="O16" s="13">
        <f>IF(Q16=0,0,IF(Q16&lt;LOOKUP(J16,criteria!$M$3:$M$10,criteria!$O$3:$O$10),LOOKUP(J16,criteria!$M$3:$M$10,criteria!$O$3:$O$10),Q16))</f>
        <v>0</v>
      </c>
      <c r="P16" t="str">
        <f>IF(O16=0," ",IF(O16=Q16," ","Minimum"))</f>
        <v xml:space="preserve"> </v>
      </c>
      <c r="Q16" s="44">
        <f>ROUND(IF('Enrollment Input'!E17=0,0,IF(SUM('Enrollment Input'!$E$17-'Exceptional Child Calc'!$H$25)+SUM('Enrollment Input'!$E$18-'Exceptional Child Calc'!$H$26)&gt;299.99,0,(J16/M16))),2)</f>
        <v>0</v>
      </c>
    </row>
    <row r="17" spans="1:17" ht="6" customHeight="1" x14ac:dyDescent="0.2">
      <c r="J17" s="26"/>
      <c r="K17" s="26"/>
    </row>
    <row r="18" spans="1:17" ht="15.75" x14ac:dyDescent="0.25">
      <c r="B18" s="11" t="s">
        <v>45</v>
      </c>
      <c r="F18" s="13" t="str">
        <f>IF(J18=0," ",'Enrollment Input'!E20)</f>
        <v xml:space="preserve"> </v>
      </c>
      <c r="G18" s="24" t="s">
        <v>95</v>
      </c>
      <c r="H18" s="30" t="str">
        <f>IF('Exceptional Child Calc'!$H$43=0," ",'Exceptional Child Calc'!$H$43)</f>
        <v xml:space="preserve"> </v>
      </c>
      <c r="I18" s="15" t="s">
        <v>15</v>
      </c>
      <c r="J18" s="108">
        <f>IF('Enrollment Input'!E20=0,0,SUM('Enrollment Input'!E20-'Exceptional Child Calc'!H43))</f>
        <v>0</v>
      </c>
      <c r="K18" s="108"/>
      <c r="L18" s="17" t="s">
        <v>53</v>
      </c>
      <c r="M18" s="13">
        <f>IF('Enrollment Input'!C20=0,0,IF(J18&gt;99.99,LOOKUP(J18,criteria!Q3:Q10,criteria!R3:R10),LOOKUP('Enrollment Input'!F21,criteria!Y3:Y5,criteria!Z3:Z5)))</f>
        <v>0</v>
      </c>
      <c r="N18" s="15" t="s">
        <v>15</v>
      </c>
      <c r="O18" s="13">
        <f>ROUND(IF(J18=0,0,IF(J18&lt;99.99,IF(M18=0,8,(J18/M18)),IF(Q18&lt;LOOKUP(J18,criteria!$Q$3:$Q$10,criteria!$S$3:$S$10),LOOKUP(J18,criteria!$Q$3:$Q$10,criteria!$S$3:$S$10),Q18))),2)</f>
        <v>0</v>
      </c>
      <c r="P18" t="str">
        <f>IF(O18=0," ",IF(O18=Q18," ","Minimum"))</f>
        <v xml:space="preserve"> </v>
      </c>
      <c r="Q18" s="44">
        <f>ROUND(IF(M18=0,0,(J18/M18)),2)</f>
        <v>0</v>
      </c>
    </row>
    <row r="19" spans="1:17" ht="9" customHeight="1" x14ac:dyDescent="0.2">
      <c r="B19" s="11"/>
      <c r="F19" s="16"/>
      <c r="G19" s="24"/>
      <c r="H19" s="29"/>
      <c r="I19" s="15"/>
      <c r="J19" s="29"/>
      <c r="K19" s="29"/>
      <c r="M19" s="16"/>
      <c r="N19" s="15"/>
      <c r="O19" s="16"/>
    </row>
    <row r="20" spans="1:17" ht="15" x14ac:dyDescent="0.2">
      <c r="A20" s="7" t="s">
        <v>74</v>
      </c>
      <c r="J20" s="26"/>
      <c r="K20" s="26"/>
    </row>
    <row r="21" spans="1:17" ht="3.75" customHeight="1" x14ac:dyDescent="0.2">
      <c r="J21" s="26"/>
      <c r="K21" s="26"/>
    </row>
    <row r="22" spans="1:17" x14ac:dyDescent="0.2">
      <c r="B22" t="s">
        <v>92</v>
      </c>
      <c r="J22" s="108" t="str">
        <f>IF('Exceptional Child Calc'!H55=0," ",'Exceptional Child Calc'!H55)</f>
        <v xml:space="preserve"> </v>
      </c>
      <c r="K22" s="108"/>
    </row>
    <row r="23" spans="1:17" ht="9" customHeight="1" x14ac:dyDescent="0.2">
      <c r="J23" s="26"/>
      <c r="K23" s="26"/>
    </row>
    <row r="24" spans="1:17" x14ac:dyDescent="0.2">
      <c r="B24" t="s">
        <v>93</v>
      </c>
      <c r="J24" s="108" t="str">
        <f>IF('Exceptional Child Calc'!H22=0," ",'Exceptional Child Calc'!H22)</f>
        <v xml:space="preserve"> </v>
      </c>
      <c r="K24" s="108"/>
    </row>
    <row r="25" spans="1:17" ht="9" customHeight="1" x14ac:dyDescent="0.2">
      <c r="J25" s="26"/>
      <c r="K25" s="26"/>
    </row>
    <row r="26" spans="1:17" x14ac:dyDescent="0.2">
      <c r="B26" t="s">
        <v>94</v>
      </c>
      <c r="J26" s="108" t="str">
        <f>IF('Exceptional Child Calc'!$H$43=0," ",'Exceptional Child Calc'!$H$43)</f>
        <v xml:space="preserve"> </v>
      </c>
      <c r="K26" s="108"/>
    </row>
    <row r="27" spans="1:17" ht="8.25" customHeight="1" x14ac:dyDescent="0.2">
      <c r="J27" s="26"/>
      <c r="K27" s="26"/>
    </row>
    <row r="28" spans="1:17" x14ac:dyDescent="0.2">
      <c r="B28" t="s">
        <v>51</v>
      </c>
      <c r="J28" s="108" t="str">
        <f>IF('Enrollment Input'!E54=0," ",'Enrollment Input'!E54)</f>
        <v xml:space="preserve"> </v>
      </c>
      <c r="K28" s="108"/>
    </row>
    <row r="29" spans="1:17" ht="6" customHeight="1" x14ac:dyDescent="0.2">
      <c r="J29" s="29"/>
      <c r="K29" s="29"/>
    </row>
    <row r="30" spans="1:17" ht="16.5" thickBot="1" x14ac:dyDescent="0.3">
      <c r="B30" s="1" t="s">
        <v>96</v>
      </c>
      <c r="J30" s="109">
        <f>SUM(J22:K28)</f>
        <v>0</v>
      </c>
      <c r="K30" s="109"/>
      <c r="L30" s="17" t="s">
        <v>53</v>
      </c>
      <c r="M30" s="13">
        <f>IF(SUM('Enrollment Input'!C14:C20)=0,0,IF(J30&gt;=14,LOOKUP(J30,criteria!$U$3:$U$10,criteria!$V$3:$V$10),0))</f>
        <v>0</v>
      </c>
      <c r="N30" s="15" t="s">
        <v>15</v>
      </c>
      <c r="O30" s="13">
        <f>IF(J30=0,0,IF(Q30&lt;LOOKUP(J30,criteria!$U$3:$U$10,criteria!$W$3:$W$10),LOOKUP(J30,criteria!$U$3:$U$10,criteria!$W$3:$W$10),Q30))</f>
        <v>0</v>
      </c>
      <c r="P30" t="str">
        <f>IF(O30=0," ",IF(O30=Q30," ","Minimum"))</f>
        <v xml:space="preserve"> </v>
      </c>
      <c r="Q30" s="44">
        <f>ROUND(IF(SUM('Enrollment Input'!C14:C20)=0,0,IF(M30=0,0,(J30/M30))),2)</f>
        <v>0</v>
      </c>
    </row>
    <row r="31" spans="1:17" ht="21" customHeight="1" thickTop="1" x14ac:dyDescent="0.2">
      <c r="B31" s="31"/>
      <c r="C31" s="31"/>
      <c r="D31" s="31"/>
      <c r="E31" s="31"/>
      <c r="F31" s="31"/>
      <c r="G31" s="31"/>
      <c r="H31" s="31"/>
      <c r="J31" s="12"/>
      <c r="N31" s="15"/>
      <c r="O31" s="16"/>
      <c r="P31" s="1"/>
    </row>
    <row r="32" spans="1:17" ht="15.75" x14ac:dyDescent="0.25">
      <c r="A32" s="4" t="s">
        <v>46</v>
      </c>
    </row>
    <row r="33" spans="1:17" ht="7.5" customHeight="1" x14ac:dyDescent="0.2"/>
    <row r="34" spans="1:17" ht="12.75" customHeight="1" x14ac:dyDescent="0.25">
      <c r="A34" s="15" t="s">
        <v>100</v>
      </c>
      <c r="B34" s="113" t="str">
        <f>'Enrollment Input'!B23</f>
        <v xml:space="preserve">Kindergarten </v>
      </c>
      <c r="C34" s="113"/>
      <c r="D34" s="113"/>
      <c r="E34" s="113"/>
      <c r="F34" s="113"/>
      <c r="G34" s="113"/>
      <c r="H34" s="5"/>
      <c r="I34" s="5"/>
      <c r="J34" s="108" t="str">
        <f>IF('Enrollment Input'!E23=0," ",'Enrollment Input'!E23)</f>
        <v xml:space="preserve"> </v>
      </c>
      <c r="K34" s="108"/>
      <c r="L34" s="17" t="s">
        <v>53</v>
      </c>
      <c r="M34" s="13">
        <f>IF('Enrollment Input'!E23=0,0,LOOKUP(J34,criteria!$A$3:$A$10,criteria!$B$3:$B$10))</f>
        <v>0</v>
      </c>
      <c r="N34" s="15" t="s">
        <v>15</v>
      </c>
      <c r="O34" s="13">
        <f>IF(Q34=0,0,IF(LOOKUP(J34,criteria!$A$3:$A$10,criteria!$C$3:$C$10)=0,0,IF(Q34&lt;LOOKUP(J34,criteria!$A$3:$A$10,criteria!$C$3:$C$10),LOOKUP(J34,criteria!$A$3:$A$10,criteria!$C$3:$C$10),Q34)))</f>
        <v>0</v>
      </c>
      <c r="P34" s="10" t="str">
        <f>IF('Enrollment Input'!E23=0," ",IF(O34=0,"ADD to 1-6",IF(O34=Q34," ","Minimum")))</f>
        <v xml:space="preserve"> </v>
      </c>
      <c r="Q34" s="44">
        <f>ROUND(IF('Enrollment Input'!E23=0,0,IF(M34=0,0,(J34/M34))),2)</f>
        <v>0</v>
      </c>
    </row>
    <row r="35" spans="1:17" ht="6" customHeight="1" x14ac:dyDescent="0.2">
      <c r="A35" s="15"/>
      <c r="J35" s="27"/>
      <c r="K35" s="27"/>
    </row>
    <row r="36" spans="1:17" ht="12.75" customHeight="1" x14ac:dyDescent="0.25">
      <c r="A36" s="15"/>
      <c r="B36" s="113" t="str">
        <f>'Enrollment Input'!B24</f>
        <v>Grades 1-6</v>
      </c>
      <c r="C36" s="113"/>
      <c r="D36" s="113"/>
      <c r="E36" s="113"/>
      <c r="F36" s="113"/>
      <c r="G36" s="113"/>
      <c r="H36" s="5"/>
      <c r="I36" s="5"/>
      <c r="J36" s="108" t="str">
        <f>IF('Enrollment Input'!E24=0," ",IF(P34="ADD to 1-6",SUM('Enrollment Input'!E24+'Enrollment Input'!E23),'Enrollment Input'!E24))</f>
        <v xml:space="preserve"> </v>
      </c>
      <c r="K36" s="108"/>
      <c r="L36" s="17" t="s">
        <v>53</v>
      </c>
      <c r="M36" s="13">
        <f>IF('Enrollment Input'!E24=0,0,LOOKUP(J36,criteria!$M$3:$M$10,criteria!$N$3:$N$10))</f>
        <v>0</v>
      </c>
      <c r="N36" s="15" t="s">
        <v>15</v>
      </c>
      <c r="O36" s="13">
        <f>IF(Q36=0,0,IF(Q36&lt;LOOKUP(J36,criteria!$M$3:$M$10,criteria!$O$3:$O$10),LOOKUP(J36,criteria!$M$3:$M$10,criteria!$O$3:$O$10),Q36))</f>
        <v>0</v>
      </c>
      <c r="P36" t="str">
        <f>IF(O36=0," ",IF(O36=Q36," ","Minimum"))</f>
        <v xml:space="preserve"> </v>
      </c>
      <c r="Q36" s="44">
        <f>ROUND(IF('Enrollment Input'!E24=0,0,(J36/M36)),2)</f>
        <v>0</v>
      </c>
    </row>
    <row r="37" spans="1:17" ht="6.75" customHeight="1" x14ac:dyDescent="0.2">
      <c r="A37" s="15"/>
      <c r="J37" s="28"/>
      <c r="K37" s="28"/>
    </row>
    <row r="38" spans="1:17" ht="12.75" customHeight="1" x14ac:dyDescent="0.25">
      <c r="A38" s="15"/>
      <c r="B38" s="113" t="str">
        <f>'Enrollment Input'!B25</f>
        <v xml:space="preserve">Secondary </v>
      </c>
      <c r="C38" s="113"/>
      <c r="D38" s="113"/>
      <c r="E38" s="113"/>
      <c r="F38" s="113"/>
      <c r="G38" s="113"/>
      <c r="H38" s="5"/>
      <c r="I38" s="5"/>
      <c r="J38" s="108" t="str">
        <f>IF('Enrollment Input'!E25=0," ",'Enrollment Input'!E25)</f>
        <v xml:space="preserve"> </v>
      </c>
      <c r="K38" s="108"/>
      <c r="L38" s="17" t="s">
        <v>53</v>
      </c>
      <c r="M38" s="13">
        <f>IF(J38=" ",0,IF(J38&gt;99.99,LOOKUP(J38,criteria!Q3:Q10,criteria!R3:R10),LOOKUP('Enrollment Input'!F26,criteria!Y3:Y5,criteria!Z3:Z5)))</f>
        <v>0</v>
      </c>
      <c r="N38" s="15" t="s">
        <v>15</v>
      </c>
      <c r="O38" s="13">
        <f>ROUND(IF(J38=" ",0,IF(J38&lt;99.99,IF(M38=0,8,(J38/M38)),IF(Q38&lt;LOOKUP(J38,criteria!$Q$3:$Q$10,criteria!$S$3:$S$10),LOOKUP(J38,criteria!$Q$3:$Q$10,criteria!$S$3:$S$10),Q38))),2)</f>
        <v>0</v>
      </c>
      <c r="P38" t="str">
        <f>IF(O38=0," ",IF(O38=Q38," ","Minimum"))</f>
        <v xml:space="preserve"> </v>
      </c>
      <c r="Q38" s="44">
        <f>ROUND(IF(M38=0,0,(J38/M38)),2)</f>
        <v>0</v>
      </c>
    </row>
    <row r="39" spans="1:17" ht="6.75" customHeight="1" x14ac:dyDescent="0.2">
      <c r="A39" s="15"/>
      <c r="J39" s="26"/>
      <c r="K39" s="26"/>
    </row>
    <row r="40" spans="1:17" ht="12.75" customHeight="1" x14ac:dyDescent="0.25">
      <c r="A40" s="15" t="s">
        <v>101</v>
      </c>
      <c r="B40" s="113" t="str">
        <f>'Enrollment Input'!B27</f>
        <v xml:space="preserve">Kindergarten </v>
      </c>
      <c r="C40" s="113"/>
      <c r="D40" s="113"/>
      <c r="E40" s="113"/>
      <c r="F40" s="113"/>
      <c r="G40" s="113"/>
      <c r="H40" s="5"/>
      <c r="I40" s="5"/>
      <c r="J40" s="108" t="str">
        <f>IF('Enrollment Input'!E27=0," ",'Enrollment Input'!E27)</f>
        <v xml:space="preserve"> </v>
      </c>
      <c r="K40" s="108"/>
      <c r="L40" s="17" t="s">
        <v>53</v>
      </c>
      <c r="M40" s="13">
        <f>IF('Enrollment Input'!E27=0,0,LOOKUP(J40,criteria!$A$3:$A$10,criteria!$B$3:$B$10))</f>
        <v>0</v>
      </c>
      <c r="N40" s="15" t="s">
        <v>15</v>
      </c>
      <c r="O40" s="13">
        <f>IF(Q40=0,0,IF(LOOKUP(J40,criteria!$A$3:$A$10,criteria!$C$3:$C$10)=0,0,IF(Q40&lt;LOOKUP(J40,criteria!$A$3:$A$10,criteria!$C$3:$C$10),LOOKUP(J40,criteria!$A$3:$A$10,criteria!$C$3:$C$10),Q40)))</f>
        <v>0</v>
      </c>
      <c r="P40" s="10" t="str">
        <f>IF('Enrollment Input'!E27=0," ",IF(O40=0,"ADD to 1-6",IF(O40=Q40," ","Minimum")))</f>
        <v xml:space="preserve"> </v>
      </c>
      <c r="Q40" s="44">
        <f>ROUND(IF('Enrollment Input'!E27=0,0,IF(M40=0,0,(J40/M40))),2)</f>
        <v>0</v>
      </c>
    </row>
    <row r="41" spans="1:17" ht="6.75" customHeight="1" x14ac:dyDescent="0.2">
      <c r="A41" s="15"/>
      <c r="J41" s="26"/>
      <c r="K41" s="26"/>
    </row>
    <row r="42" spans="1:17" ht="12.75" customHeight="1" x14ac:dyDescent="0.25">
      <c r="A42" s="15"/>
      <c r="B42" s="113" t="str">
        <f>'Enrollment Input'!B28</f>
        <v>Grades 1-6</v>
      </c>
      <c r="C42" s="113"/>
      <c r="D42" s="113"/>
      <c r="E42" s="113"/>
      <c r="F42" s="113"/>
      <c r="G42" s="113"/>
      <c r="H42" s="5"/>
      <c r="I42" s="5"/>
      <c r="J42" s="108" t="str">
        <f>IF('Enrollment Input'!E28=0," ",IF(P40="ADD to 1-6",SUM('Enrollment Input'!E28+'Enrollment Input'!E27),'Enrollment Input'!E28))</f>
        <v xml:space="preserve"> </v>
      </c>
      <c r="K42" s="108"/>
      <c r="L42" s="17" t="s">
        <v>53</v>
      </c>
      <c r="M42" s="13">
        <f>IF('Enrollment Input'!E28=0,0,LOOKUP(J42,criteria!$M$3:$M$10,criteria!$N$3:$N$10))</f>
        <v>0</v>
      </c>
      <c r="N42" s="15" t="s">
        <v>15</v>
      </c>
      <c r="O42" s="13">
        <f>IF(Q42=0,0,IF(Q42&lt;LOOKUP(J42,criteria!$M$3:$M$10,criteria!$O$3:$O$10),LOOKUP(J42,criteria!$M$3:$M$10,criteria!$O$3:$O$10),Q42))</f>
        <v>0</v>
      </c>
      <c r="P42" t="str">
        <f>IF(O42=0," ",IF(O42=Q42," ","Minimum"))</f>
        <v xml:space="preserve"> </v>
      </c>
      <c r="Q42" s="44">
        <f>ROUND(IF('Enrollment Input'!E28=0,0,(J42/M42)),2)</f>
        <v>0</v>
      </c>
    </row>
    <row r="43" spans="1:17" ht="6.75" customHeight="1" x14ac:dyDescent="0.2">
      <c r="A43" s="15"/>
      <c r="J43" s="26"/>
      <c r="K43" s="26"/>
    </row>
    <row r="44" spans="1:17" ht="12.75" customHeight="1" x14ac:dyDescent="0.25">
      <c r="A44" s="15"/>
      <c r="B44" s="113" t="str">
        <f>'Enrollment Input'!B29</f>
        <v xml:space="preserve">Secondary </v>
      </c>
      <c r="C44" s="113"/>
      <c r="D44" s="113"/>
      <c r="E44" s="113"/>
      <c r="F44" s="113"/>
      <c r="G44" s="113"/>
      <c r="H44" s="5"/>
      <c r="I44" s="5"/>
      <c r="J44" s="108" t="str">
        <f>IF('Enrollment Input'!E29=0," ",'Enrollment Input'!E29)</f>
        <v xml:space="preserve"> </v>
      </c>
      <c r="K44" s="108"/>
      <c r="L44" s="17" t="s">
        <v>53</v>
      </c>
      <c r="M44" s="13">
        <f>IF(J44=" ",0,IF(J44&gt;99.99,LOOKUP(J44,criteria!Q3:Q10,criteria!R3:R10),LOOKUP('Enrollment Input'!F30,criteria!Y3:Y5,criteria!Z3:Z5)))</f>
        <v>0</v>
      </c>
      <c r="N44" s="15" t="s">
        <v>15</v>
      </c>
      <c r="O44" s="13">
        <f>ROUND(IF(J44=" ",0,IF(J44&lt;99.99,IF(M44=0,8,(J44/M44)),IF(Q44&lt;LOOKUP(J44,criteria!$Q$3:$Q$10,criteria!$S$3:$S$10),LOOKUP(J44,criteria!$Q$3:$Q$10,criteria!$S$3:$S$10),Q44))),2)</f>
        <v>0</v>
      </c>
      <c r="P44" t="str">
        <f>IF(O44=0," ",IF(O44=Q44," ","Minimum"))</f>
        <v xml:space="preserve"> </v>
      </c>
      <c r="Q44" s="44">
        <f>ROUND(IF(M44=0,0,(J44/M44)),2)</f>
        <v>0</v>
      </c>
    </row>
    <row r="45" spans="1:17" ht="6.75" customHeight="1" x14ac:dyDescent="0.2">
      <c r="A45" s="15"/>
      <c r="J45" s="26"/>
      <c r="K45" s="26"/>
    </row>
    <row r="46" spans="1:17" ht="12.75" customHeight="1" x14ac:dyDescent="0.25">
      <c r="A46" s="15" t="s">
        <v>102</v>
      </c>
      <c r="B46" s="113" t="str">
        <f>'Enrollment Input'!B31</f>
        <v xml:space="preserve">Kindergarten </v>
      </c>
      <c r="C46" s="113"/>
      <c r="D46" s="113"/>
      <c r="E46" s="113"/>
      <c r="F46" s="113"/>
      <c r="G46" s="113"/>
      <c r="H46" s="5"/>
      <c r="I46" s="5"/>
      <c r="J46" s="108" t="str">
        <f>IF('Enrollment Input'!E31=0," ",'Enrollment Input'!E31)</f>
        <v xml:space="preserve"> </v>
      </c>
      <c r="K46" s="108"/>
      <c r="L46" s="17" t="s">
        <v>53</v>
      </c>
      <c r="M46" s="13">
        <f>IF('Enrollment Input'!E31=0,0,LOOKUP(J46,criteria!$A$3:$A$10,criteria!$B$3:$B$10))</f>
        <v>0</v>
      </c>
      <c r="N46" s="15" t="s">
        <v>15</v>
      </c>
      <c r="O46" s="13">
        <f>IF(Q46=0,0,IF(LOOKUP(J46,criteria!$A$3:$A$10,criteria!$C$3:$C$10)=0,0,IF(Q46&lt;LOOKUP(J46,criteria!$A$3:$A$10,criteria!$C$3:$C$10),LOOKUP(J46,criteria!$A$3:$A$10,criteria!$C$3:$C$10),Q46)))</f>
        <v>0</v>
      </c>
      <c r="P46" s="10" t="str">
        <f>IF('Enrollment Input'!E31=0," ",IF(O46=0,"ADD to 1-6",IF(O46=Q46," ","Minimum")))</f>
        <v xml:space="preserve"> </v>
      </c>
      <c r="Q46" s="44">
        <f>ROUND(IF('Enrollment Input'!E31=0,0,IF(M46=0,0,(J46/M46))),2)</f>
        <v>0</v>
      </c>
    </row>
    <row r="47" spans="1:17" ht="6.75" customHeight="1" x14ac:dyDescent="0.2">
      <c r="A47" s="15"/>
      <c r="J47" s="26"/>
      <c r="K47" s="26"/>
    </row>
    <row r="48" spans="1:17" ht="12.75" customHeight="1" x14ac:dyDescent="0.25">
      <c r="A48" s="15"/>
      <c r="B48" s="113" t="str">
        <f>'Enrollment Input'!B32</f>
        <v>Grades 1-6</v>
      </c>
      <c r="C48" s="113"/>
      <c r="D48" s="113"/>
      <c r="E48" s="113"/>
      <c r="F48" s="113"/>
      <c r="G48" s="113"/>
      <c r="H48" s="5"/>
      <c r="I48" s="5"/>
      <c r="J48" s="108" t="str">
        <f>IF('Enrollment Input'!E32=0," ",IF(P46="ADD to 1-6",SUM('Enrollment Input'!E31+'Enrollment Input'!E32),'Enrollment Input'!E32))</f>
        <v xml:space="preserve"> </v>
      </c>
      <c r="K48" s="108"/>
      <c r="L48" s="17" t="s">
        <v>53</v>
      </c>
      <c r="M48" s="13">
        <f>IF('Enrollment Input'!E32=0,0,LOOKUP(J48,criteria!$M$3:$M$10,criteria!$N$3:$N$10))</f>
        <v>0</v>
      </c>
      <c r="N48" s="15" t="s">
        <v>15</v>
      </c>
      <c r="O48" s="13">
        <f>IF(Q48=0,0,IF(Q48&lt;LOOKUP(J48,criteria!$M$3:$M$10,criteria!$O$3:$O$10),LOOKUP(J48,criteria!$M$3:$M$10,criteria!$O$3:$O$10),Q48))</f>
        <v>0</v>
      </c>
      <c r="P48" t="str">
        <f>IF(O48=0," ",IF(O48=Q48," ","Minimum"))</f>
        <v xml:space="preserve"> </v>
      </c>
      <c r="Q48" s="44">
        <f>ROUND(IF('Enrollment Input'!E32=0,0,(J48/M48)),2)</f>
        <v>0</v>
      </c>
    </row>
    <row r="49" spans="1:17" ht="6.75" customHeight="1" x14ac:dyDescent="0.2">
      <c r="A49" s="15"/>
      <c r="J49" s="26"/>
      <c r="K49" s="26"/>
    </row>
    <row r="50" spans="1:17" ht="12.75" customHeight="1" x14ac:dyDescent="0.25">
      <c r="A50" s="15"/>
      <c r="B50" s="113" t="str">
        <f>'Enrollment Input'!B33</f>
        <v xml:space="preserve">Secondary </v>
      </c>
      <c r="C50" s="113"/>
      <c r="D50" s="113"/>
      <c r="E50" s="113"/>
      <c r="F50" s="113"/>
      <c r="G50" s="113"/>
      <c r="H50" s="5"/>
      <c r="I50" s="5"/>
      <c r="J50" s="108" t="str">
        <f>IF('Enrollment Input'!E33=0," ",'Enrollment Input'!E33)</f>
        <v xml:space="preserve"> </v>
      </c>
      <c r="K50" s="108"/>
      <c r="L50" s="17" t="s">
        <v>53</v>
      </c>
      <c r="M50" s="13">
        <f>IF(J50=" ",0,IF(J50&gt;99.99,LOOKUP(J50,criteria!Q3:Q9,criteria!R3:R9),LOOKUP('Enrollment Input'!F34,criteria!Y3:Y5,criteria!Z3:Z51)))</f>
        <v>0</v>
      </c>
      <c r="N50" s="15" t="s">
        <v>15</v>
      </c>
      <c r="O50" s="13">
        <f>ROUND(IF(J50=" ",0,IF(J50&lt;99.99,IF(M50=0,8,(J50/M50)),IF(Q50&lt;LOOKUP(J50,criteria!$Q$3:$Q$10,criteria!$S$3:$S$10),LOOKUP(J50,criteria!$Q$3:$Q$10,criteria!$S$3:$S$10),Q50))),2)</f>
        <v>0</v>
      </c>
      <c r="P50" t="str">
        <f>IF(O50=0," ",IF(O50=Q50," ","Minimum"))</f>
        <v xml:space="preserve"> </v>
      </c>
      <c r="Q50" s="44">
        <f>ROUND(IF(M50=0,0,(J50/M50)),2)</f>
        <v>0</v>
      </c>
    </row>
    <row r="51" spans="1:17" ht="6.75" customHeight="1" x14ac:dyDescent="0.2">
      <c r="A51" s="15"/>
      <c r="J51" s="26"/>
      <c r="K51" s="26"/>
    </row>
    <row r="52" spans="1:17" ht="12.75" customHeight="1" x14ac:dyDescent="0.25">
      <c r="A52" s="15" t="s">
        <v>103</v>
      </c>
      <c r="B52" s="113" t="str">
        <f>'Enrollment Input'!B35</f>
        <v xml:space="preserve">Kindergarten </v>
      </c>
      <c r="C52" s="113"/>
      <c r="D52" s="113"/>
      <c r="E52" s="113"/>
      <c r="F52" s="113"/>
      <c r="G52" s="113"/>
      <c r="H52" s="5"/>
      <c r="I52" s="5"/>
      <c r="J52" s="108" t="str">
        <f>IF('Enrollment Input'!E35=0," ",'Enrollment Input'!E35)</f>
        <v xml:space="preserve"> </v>
      </c>
      <c r="K52" s="108"/>
      <c r="L52" s="17" t="s">
        <v>53</v>
      </c>
      <c r="M52" s="13">
        <f>IF('Enrollment Input'!E35=0,0,LOOKUP(J52,criteria!$A$3:$A$10,criteria!$B$3:$B$10))</f>
        <v>0</v>
      </c>
      <c r="N52" s="15" t="s">
        <v>15</v>
      </c>
      <c r="O52" s="13">
        <f>IF(Q52=0,0,IF(LOOKUP(J52,criteria!$A$3:$A$10,criteria!$C$3:$C$10)=0,0,IF(Q52&lt;LOOKUP(J52,criteria!$A$3:$A$10,criteria!$C$3:$C$10),LOOKUP(J52,criteria!$A$3:$A$10,criteria!$C$3:$C$10),Q52)))</f>
        <v>0</v>
      </c>
      <c r="P52" s="10" t="str">
        <f>IF('Enrollment Input'!E37=0," ",IF(O52=0,"ADD to 1-6",IF(O52=Q52," ","Minimum")))</f>
        <v xml:space="preserve"> </v>
      </c>
      <c r="Q52" s="44">
        <f>ROUND(IF('Enrollment Input'!E39=0,0,IF(M52=0,0,(J52/M52))),2)</f>
        <v>0</v>
      </c>
    </row>
    <row r="53" spans="1:17" ht="6.75" customHeight="1" x14ac:dyDescent="0.2">
      <c r="A53" s="15"/>
      <c r="J53" s="26"/>
      <c r="K53" s="26"/>
    </row>
    <row r="54" spans="1:17" ht="12.75" customHeight="1" x14ac:dyDescent="0.25">
      <c r="A54" s="15"/>
      <c r="B54" s="113" t="str">
        <f>'Enrollment Input'!B36</f>
        <v>Grades 1-6</v>
      </c>
      <c r="C54" s="113"/>
      <c r="D54" s="113"/>
      <c r="E54" s="113"/>
      <c r="F54" s="113"/>
      <c r="G54" s="113"/>
      <c r="H54" s="5"/>
      <c r="I54" s="5"/>
      <c r="J54" s="108" t="str">
        <f>IF('Enrollment Input'!E36=0," ",IF(P52="ADD to 1-6",SUM('Enrollment Input'!E35+'Enrollment Input'!E36),'Enrollment Input'!E36))</f>
        <v xml:space="preserve"> </v>
      </c>
      <c r="K54" s="108"/>
      <c r="L54" s="17" t="s">
        <v>53</v>
      </c>
      <c r="M54" s="13">
        <f>IF('Enrollment Input'!E36=0,0,LOOKUP(J54,criteria!$M$3:$M$10,criteria!$N$3:$N$10))</f>
        <v>0</v>
      </c>
      <c r="N54" s="15" t="s">
        <v>15</v>
      </c>
      <c r="O54" s="13">
        <f>IF(Q54=0,0,IF(Q54&lt;LOOKUP(J54,criteria!$M$3:$M$10,criteria!$O$3:$O$10),LOOKUP(J54,criteria!$M$3:$M$10,criteria!$O$3:$O$10),Q54))</f>
        <v>0</v>
      </c>
      <c r="P54" t="str">
        <f>IF(O54=0," ",IF(O54=Q54," ","Minimum"))</f>
        <v xml:space="preserve"> </v>
      </c>
      <c r="Q54" s="44">
        <f>ROUND(IF('Enrollment Input'!E36=0,0,(J54/M54)),2)</f>
        <v>0</v>
      </c>
    </row>
    <row r="55" spans="1:17" ht="6.75" customHeight="1" x14ac:dyDescent="0.2">
      <c r="A55" s="15"/>
      <c r="J55" s="26"/>
      <c r="K55" s="26"/>
    </row>
    <row r="56" spans="1:17" ht="12.75" customHeight="1" x14ac:dyDescent="0.25">
      <c r="A56" s="15"/>
      <c r="B56" s="113" t="str">
        <f>'Enrollment Input'!B37</f>
        <v xml:space="preserve">Secondary </v>
      </c>
      <c r="C56" s="113"/>
      <c r="D56" s="113"/>
      <c r="E56" s="113"/>
      <c r="F56" s="113"/>
      <c r="G56" s="113"/>
      <c r="H56" s="5"/>
      <c r="I56" s="5"/>
      <c r="J56" s="108" t="str">
        <f>IF('Enrollment Input'!E37=0," ",'Enrollment Input'!E37)</f>
        <v xml:space="preserve"> </v>
      </c>
      <c r="K56" s="108"/>
      <c r="L56" s="17" t="s">
        <v>53</v>
      </c>
      <c r="M56" s="13">
        <f>IF(J56=" ",0,IF(J56&gt;99.99,LOOKUP(J56,criteria!Q3:Q10,criteria!R3:R10),LOOKUP('Enrollment Input'!F38,criteria!Y3:Y5,criteria!Z3:Z5)))</f>
        <v>0</v>
      </c>
      <c r="N56" s="15" t="s">
        <v>15</v>
      </c>
      <c r="O56" s="13">
        <f>ROUND(IF(J56=" ",0,IF(J56&lt;99.99,IF(M56=0,8,(J56/M56)),IF(Q56&lt;LOOKUP(J56,criteria!$Q$3:$Q$10,criteria!$S$3:$S$10),LOOKUP(J56,criteria!$Q$3:$Q$10,criteria!$S$3:$S$10),Q56))),2)</f>
        <v>0</v>
      </c>
      <c r="P56" t="str">
        <f>IF(O56=0," ",IF(O56=Q56," ","Minimum"))</f>
        <v xml:space="preserve"> </v>
      </c>
      <c r="Q56" s="44">
        <f>ROUND(IF(M56=0,0,(J56/M56)),2)</f>
        <v>0</v>
      </c>
    </row>
    <row r="57" spans="1:17" ht="6.75" customHeight="1" x14ac:dyDescent="0.2">
      <c r="A57" s="15"/>
      <c r="J57" s="26"/>
      <c r="K57" s="26"/>
    </row>
    <row r="58" spans="1:17" ht="12.75" customHeight="1" x14ac:dyDescent="0.25">
      <c r="A58" s="15" t="s">
        <v>106</v>
      </c>
      <c r="B58" s="113" t="str">
        <f>'Enrollment Input'!B40</f>
        <v xml:space="preserve">Kindergarten </v>
      </c>
      <c r="C58" s="113"/>
      <c r="D58" s="113"/>
      <c r="E58" s="113"/>
      <c r="F58" s="113"/>
      <c r="G58" s="113"/>
      <c r="H58" s="5"/>
      <c r="I58" s="5"/>
      <c r="J58" s="108" t="str">
        <f>IF('Enrollment Input'!E40=0," ",'Enrollment Input'!E40)</f>
        <v xml:space="preserve"> </v>
      </c>
      <c r="K58" s="108"/>
      <c r="L58" s="17" t="s">
        <v>53</v>
      </c>
      <c r="M58" s="13">
        <f>IF('Enrollment Input'!E40=0,0,LOOKUP(J58,criteria!$A$3:$A$10,criteria!$B$3:$B$10))</f>
        <v>0</v>
      </c>
      <c r="N58" s="15" t="s">
        <v>15</v>
      </c>
      <c r="O58" s="13">
        <f>IF(Q58=0,0,IF(LOOKUP(J58,criteria!$A$3:$A$10,criteria!$C$3:$C$10)=0,0,IF(Q58&lt;LOOKUP(J58,criteria!$A$3:$A$10,criteria!$C$3:$C$10),LOOKUP(J58,criteria!$A$3:$A$10,criteria!$C$3:$C$10),Q58)))</f>
        <v>0</v>
      </c>
      <c r="P58" s="10" t="str">
        <f>IF('Enrollment Input'!E40=0," ",IF(O58=0,"ADD to 1-3",IF(O58=Q58," ","Minimum")))</f>
        <v xml:space="preserve"> </v>
      </c>
      <c r="Q58" s="44">
        <f>ROUND(IF('Enrollment Input'!E40=0,0,IF(M58=0,0,(J58/M58))),2)</f>
        <v>0</v>
      </c>
    </row>
    <row r="59" spans="1:17" ht="5.25" customHeight="1" x14ac:dyDescent="0.2">
      <c r="A59" s="15"/>
      <c r="J59" s="26"/>
      <c r="K59" s="26"/>
    </row>
    <row r="60" spans="1:17" ht="12.75" customHeight="1" x14ac:dyDescent="0.25">
      <c r="A60" s="15"/>
      <c r="B60" s="113" t="str">
        <f>'Enrollment Input'!B41</f>
        <v>Grades 1-3</v>
      </c>
      <c r="C60" s="113"/>
      <c r="D60" s="113"/>
      <c r="E60" s="113"/>
      <c r="F60" s="113"/>
      <c r="G60" s="113"/>
      <c r="H60" s="6"/>
      <c r="J60" s="108" t="str">
        <f>IF('Enrollment Input'!$E$41=0," ",IF($P$58="ADD to 1-3",SUM('Enrollment Input'!$E$41+'Enrollment Input'!$E$40),'Enrollment Input'!$E$41))</f>
        <v xml:space="preserve"> </v>
      </c>
      <c r="K60" s="108"/>
      <c r="L60" s="17" t="s">
        <v>53</v>
      </c>
      <c r="M60" s="13">
        <f>IF('Enrollment Input'!E41=0,0,IF(SUM($J$60+$J$61)&gt;299.99,20,0))</f>
        <v>0</v>
      </c>
      <c r="N60" s="15" t="s">
        <v>15</v>
      </c>
      <c r="O60" s="13">
        <f>IF(Q60=0,0,IF(Q60&lt;LOOKUP(J60,criteria!$M$3:$M$10,criteria!$O$3:$O$10),LOOKUP(J60,criteria!$M$3:$M$10,criteria!$O$3:$O$10),Q60))</f>
        <v>0</v>
      </c>
      <c r="P60" s="10" t="str">
        <f>IF('Enrollment Input'!E41=0," ",IF(O60=0,"ADD to 1-6",IF(O60=Q60," ","Minimum")))</f>
        <v xml:space="preserve"> </v>
      </c>
      <c r="Q60" s="44">
        <f>ROUND(IF('Enrollment Input'!E41=0,0,IF(M60=0,0,(J60/M60))),2)</f>
        <v>0</v>
      </c>
    </row>
    <row r="61" spans="1:17" ht="15.75" customHeight="1" x14ac:dyDescent="0.25">
      <c r="B61" s="113" t="str">
        <f>'Enrollment Input'!B42</f>
        <v>Grades 4-6</v>
      </c>
      <c r="C61" s="113"/>
      <c r="D61" s="113"/>
      <c r="E61" s="113"/>
      <c r="F61" s="113"/>
      <c r="G61" s="113"/>
      <c r="H61" s="5"/>
      <c r="I61" s="5"/>
      <c r="J61" s="108" t="str">
        <f>IF('Enrollment Input'!$E$42=0," ",'Enrollment Input'!$E$42)</f>
        <v xml:space="preserve"> </v>
      </c>
      <c r="K61" s="108"/>
      <c r="L61" s="17" t="s">
        <v>53</v>
      </c>
      <c r="M61" s="13">
        <f>IF('Enrollment Input'!E42=0,0,IF(SUM($J$60+$J$61)&gt;299.99,23,0))</f>
        <v>0</v>
      </c>
      <c r="N61" s="15" t="s">
        <v>15</v>
      </c>
      <c r="O61" s="13">
        <f>IF(Q61=0,0,IF(Q61&lt;LOOKUP(J61,criteria!$M$3:$M$10,criteria!$O$3:$O$10),LOOKUP(J61,criteria!$M$3:$M$10,criteria!$O$3:$O$10),Q61))</f>
        <v>0</v>
      </c>
      <c r="P61" t="str">
        <f>IF(O61=0," ",IF(O61=Q61," ","Minimum"))</f>
        <v xml:space="preserve"> </v>
      </c>
      <c r="Q61" s="44">
        <f>ROUND(IF('Enrollment Input'!E42=0,0,(J61/M61)),2)</f>
        <v>0</v>
      </c>
    </row>
    <row r="62" spans="1:17" ht="6.75" customHeight="1" x14ac:dyDescent="0.2">
      <c r="J62" s="26"/>
      <c r="K62" s="26"/>
    </row>
    <row r="63" spans="1:17" ht="12.75" customHeight="1" x14ac:dyDescent="0.25">
      <c r="B63" s="113" t="str">
        <f>'Enrollment Input'!B43</f>
        <v xml:space="preserve">Secondary </v>
      </c>
      <c r="C63" s="113"/>
      <c r="D63" s="113"/>
      <c r="E63" s="113"/>
      <c r="F63" s="113"/>
      <c r="G63" s="113"/>
      <c r="H63" s="5"/>
      <c r="I63" s="5"/>
      <c r="J63" s="108" t="str">
        <f>IF('Enrollment Input'!E43=0," ",'Enrollment Input'!E43)</f>
        <v xml:space="preserve"> </v>
      </c>
      <c r="K63" s="108"/>
      <c r="L63" s="17" t="s">
        <v>53</v>
      </c>
      <c r="M63" s="13">
        <f>IF(J63=" ",0,IF(J63&gt;99.99,LOOKUP(J63,criteria!Q3:Q10,criteria!R3:R10),LOOKUP('Enrollment Input'!F44,criteria!Y3:Y5,criteria!Z3:Z5)))</f>
        <v>0</v>
      </c>
      <c r="N63" s="15" t="s">
        <v>15</v>
      </c>
      <c r="O63" s="13">
        <f>ROUND(IF(J63=" ",0,IF(J63&lt;99.99,IF(M63=0,8,(J63/M63)),IF(Q63&lt;LOOKUP(J63,criteria!$Q$3:$Q$10,criteria!$S$3:$S$10),LOOKUP(J63,criteria!$Q$3:$Q$10,criteria!$S$3:$S$10),Q63))),2)</f>
        <v>0</v>
      </c>
      <c r="P63" t="str">
        <f>IF(O63=0," ",IF(O63=Q63," ","Minimum"))</f>
        <v xml:space="preserve"> </v>
      </c>
      <c r="Q63" s="44">
        <f>ROUND(IF(M63=0,0,(J63/M63)),2)</f>
        <v>0</v>
      </c>
    </row>
    <row r="64" spans="1:17" x14ac:dyDescent="0.2">
      <c r="B64" s="5"/>
      <c r="C64" s="5"/>
      <c r="D64" s="5"/>
      <c r="E64" s="5"/>
      <c r="F64" s="5"/>
      <c r="G64" s="5"/>
      <c r="H64" s="5"/>
      <c r="I64" s="5"/>
      <c r="J64" s="29"/>
      <c r="K64" s="29"/>
      <c r="M64" s="16"/>
      <c r="N64" s="15"/>
      <c r="O64" s="16"/>
    </row>
    <row r="65" spans="1:17" ht="19.5" customHeight="1" x14ac:dyDescent="0.25">
      <c r="A65" s="4" t="s">
        <v>116</v>
      </c>
    </row>
    <row r="66" spans="1:17" ht="15.75" x14ac:dyDescent="0.25">
      <c r="B66" s="113" t="str">
        <f>IF('Enrollment Input'!E45=0," ","Alternative Secondary High School")</f>
        <v xml:space="preserve"> </v>
      </c>
      <c r="C66" s="113"/>
      <c r="D66" s="113"/>
      <c r="E66" s="113"/>
      <c r="F66" s="113"/>
      <c r="G66" s="113"/>
      <c r="H66" s="5"/>
      <c r="I66" s="5"/>
      <c r="J66" s="108">
        <f>'Enrollment Input'!E45</f>
        <v>0</v>
      </c>
      <c r="K66" s="108"/>
      <c r="L66" s="17" t="s">
        <v>53</v>
      </c>
      <c r="M66" s="13">
        <f>IF(J66=0,0,IF(Q66&lt;1,M18,12))</f>
        <v>0</v>
      </c>
      <c r="N66" s="15" t="s">
        <v>15</v>
      </c>
      <c r="O66" s="13">
        <f>ROUND(IF(J66=0,0,J66/M66),2)</f>
        <v>0</v>
      </c>
      <c r="P66" s="7"/>
      <c r="Q66" s="44">
        <f>ROUND(IF(J66=0,0,J66/12),2)</f>
        <v>0</v>
      </c>
    </row>
    <row r="67" spans="1:17" ht="11.25" customHeight="1" x14ac:dyDescent="0.2">
      <c r="J67" s="26"/>
      <c r="K67" s="26"/>
    </row>
    <row r="68" spans="1:17" ht="11.25" customHeight="1" x14ac:dyDescent="0.25">
      <c r="B68" s="113" t="str">
        <f>IF('Enrollment Input'!E47=0," ","Summer Alternative Secondary High School")</f>
        <v xml:space="preserve"> </v>
      </c>
      <c r="C68" s="113"/>
      <c r="D68" s="113"/>
      <c r="E68" s="113"/>
      <c r="F68" s="113"/>
      <c r="G68" s="113"/>
      <c r="J68" s="108">
        <f>'Enrollment Input'!E47</f>
        <v>0</v>
      </c>
      <c r="K68" s="108"/>
      <c r="L68" s="17" t="s">
        <v>53</v>
      </c>
      <c r="M68" s="13">
        <f>IF(J68=0,0,40)</f>
        <v>0</v>
      </c>
      <c r="N68" s="15" t="s">
        <v>15</v>
      </c>
      <c r="O68" s="13">
        <f>ROUND(IF(J68=0,0,J68/M68),2)</f>
        <v>0</v>
      </c>
      <c r="P68" s="7"/>
      <c r="Q68" s="44">
        <f>ROUND(IF(J68=0,0,J68/12),2)</f>
        <v>0</v>
      </c>
    </row>
    <row r="69" spans="1:17" ht="13.5" customHeight="1" x14ac:dyDescent="0.25">
      <c r="J69" s="16"/>
      <c r="K69" s="16"/>
      <c r="L69" s="17"/>
      <c r="M69" s="16"/>
      <c r="N69" s="15"/>
      <c r="O69" s="16"/>
      <c r="P69" s="1"/>
    </row>
    <row r="70" spans="1:17" ht="18.75" customHeight="1" thickBot="1" x14ac:dyDescent="0.25">
      <c r="A70" s="7"/>
      <c r="B70" s="12" t="s">
        <v>113</v>
      </c>
      <c r="C70" s="1"/>
      <c r="D70" s="1"/>
      <c r="E70" s="1"/>
      <c r="F70" s="1"/>
      <c r="G70" s="1"/>
      <c r="H70" s="1"/>
      <c r="I70" s="1"/>
      <c r="J70" s="1"/>
      <c r="K70" s="1"/>
      <c r="M70" s="18" t="s">
        <v>15</v>
      </c>
      <c r="N70" s="107">
        <f>ROUND(IF(SUM(O7:O68)=0,0,SUM(O7:O68)),2)</f>
        <v>0</v>
      </c>
      <c r="O70" s="107"/>
    </row>
    <row r="71" spans="1:17" ht="13.5" thickTop="1" x14ac:dyDescent="0.2"/>
    <row r="72" spans="1:17" x14ac:dyDescent="0.2">
      <c r="C72" s="10" t="s">
        <v>115</v>
      </c>
      <c r="N72" s="115"/>
      <c r="O72" s="116"/>
    </row>
    <row r="73" spans="1:17" x14ac:dyDescent="0.2">
      <c r="N73" s="18"/>
      <c r="O73" s="18"/>
    </row>
    <row r="74" spans="1:17" ht="15.75" customHeight="1" thickBot="1" x14ac:dyDescent="0.25">
      <c r="B74" s="1" t="s">
        <v>114</v>
      </c>
      <c r="N74" s="114">
        <f>N70-(N70*N72)</f>
        <v>0</v>
      </c>
      <c r="O74" s="114"/>
    </row>
    <row r="75" spans="1:17" ht="13.5" thickTop="1" x14ac:dyDescent="0.2"/>
  </sheetData>
  <sheetProtection algorithmName="SHA-512" hashValue="wRWVG6lO5ZrZY9qlHHkQhL4T6sbJmSDZ+1WphI0rWSmbqoTm/eTRUdpNQgMvnAVJviGAVKdqxp+F0GBxuVJ29g==" saltValue="ngOdsf/MnzWEZqnaO4be0Q==" spinCount="100000" sheet="1" objects="1" scenarios="1"/>
  <mergeCells count="52">
    <mergeCell ref="N74:O74"/>
    <mergeCell ref="N72:O72"/>
    <mergeCell ref="B48:G48"/>
    <mergeCell ref="J48:K48"/>
    <mergeCell ref="B54:G54"/>
    <mergeCell ref="J54:K54"/>
    <mergeCell ref="B68:G68"/>
    <mergeCell ref="J68:K68"/>
    <mergeCell ref="B66:G66"/>
    <mergeCell ref="J66:K66"/>
    <mergeCell ref="B60:G60"/>
    <mergeCell ref="J60:K60"/>
    <mergeCell ref="B58:G58"/>
    <mergeCell ref="J58:K58"/>
    <mergeCell ref="B63:G63"/>
    <mergeCell ref="J63:K63"/>
    <mergeCell ref="B61:G61"/>
    <mergeCell ref="J61:K61"/>
    <mergeCell ref="B44:G44"/>
    <mergeCell ref="J44:K44"/>
    <mergeCell ref="B56:G56"/>
    <mergeCell ref="J56:K56"/>
    <mergeCell ref="B52:G52"/>
    <mergeCell ref="J52:K52"/>
    <mergeCell ref="B50:G50"/>
    <mergeCell ref="J50:K50"/>
    <mergeCell ref="B46:G46"/>
    <mergeCell ref="J46:K46"/>
    <mergeCell ref="J18:K18"/>
    <mergeCell ref="B38:G38"/>
    <mergeCell ref="B40:G40"/>
    <mergeCell ref="B42:G42"/>
    <mergeCell ref="J42:K42"/>
    <mergeCell ref="B34:G34"/>
    <mergeCell ref="B36:G36"/>
    <mergeCell ref="J36:K36"/>
    <mergeCell ref="A2:O2"/>
    <mergeCell ref="A3:O3"/>
    <mergeCell ref="J13:K13"/>
    <mergeCell ref="J16:K16"/>
    <mergeCell ref="J5:K5"/>
    <mergeCell ref="J11:K11"/>
    <mergeCell ref="J7:K7"/>
    <mergeCell ref="N70:O70"/>
    <mergeCell ref="J22:K22"/>
    <mergeCell ref="J24:K24"/>
    <mergeCell ref="J26:K26"/>
    <mergeCell ref="J28:K28"/>
    <mergeCell ref="J38:K38"/>
    <mergeCell ref="J40:K40"/>
    <mergeCell ref="J34:K34"/>
    <mergeCell ref="J30:K30"/>
  </mergeCells>
  <phoneticPr fontId="0" type="noConversion"/>
  <conditionalFormatting sqref="M16">
    <cfRule type="cellIs" dxfId="8" priority="1" stopIfTrue="1" operator="equal">
      <formula>16.5</formula>
    </cfRule>
  </conditionalFormatting>
  <conditionalFormatting sqref="M36 M42 M48 M54">
    <cfRule type="cellIs" dxfId="7" priority="2" stopIfTrue="1" operator="equal">
      <formula>16.5</formula>
    </cfRule>
  </conditionalFormatting>
  <pageMargins left="0.75" right="0.75" top="1" bottom="1" header="0.5" footer="0.5"/>
  <pageSetup scale="76" orientation="portrait" r:id="rId1"/>
  <headerFooter alignWithMargins="0">
    <oddFooter>&amp;L&amp;F</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5"/>
  <sheetViews>
    <sheetView showGridLines="0" zoomScale="90" zoomScaleNormal="90" workbookViewId="0">
      <selection sqref="A1:O1"/>
    </sheetView>
  </sheetViews>
  <sheetFormatPr defaultRowHeight="12.75" x14ac:dyDescent="0.2"/>
  <cols>
    <col min="1" max="1" width="4.140625" style="3" customWidth="1"/>
    <col min="2" max="2" width="2.5703125" customWidth="1"/>
    <col min="7" max="7" width="4.5703125" customWidth="1"/>
    <col min="8" max="8" width="10.140625" customWidth="1"/>
    <col min="9" max="9" width="3.140625" customWidth="1"/>
    <col min="11" max="11" width="6.28515625" customWidth="1"/>
    <col min="12" max="12" width="3.85546875" customWidth="1"/>
    <col min="13" max="13" width="10.7109375" customWidth="1"/>
    <col min="14" max="14" width="4.140625" customWidth="1"/>
    <col min="15" max="15" width="12.28515625" customWidth="1"/>
    <col min="16" max="16" width="10.28515625" customWidth="1"/>
    <col min="17" max="17" width="8.85546875" customWidth="1"/>
  </cols>
  <sheetData>
    <row r="1" spans="1:18" ht="14.25" customHeight="1" x14ac:dyDescent="0.2">
      <c r="A1" s="110" t="s">
        <v>85</v>
      </c>
      <c r="B1" s="110"/>
      <c r="C1" s="110"/>
      <c r="D1" s="110"/>
      <c r="E1" s="110"/>
      <c r="F1" s="110"/>
      <c r="G1" s="110"/>
      <c r="H1" s="110"/>
      <c r="I1" s="110"/>
      <c r="J1" s="110"/>
      <c r="K1" s="110"/>
      <c r="L1" s="110"/>
      <c r="M1" s="110"/>
      <c r="N1" s="110"/>
      <c r="O1" s="110"/>
      <c r="P1" s="32"/>
      <c r="Q1" s="32"/>
      <c r="R1" s="32"/>
    </row>
    <row r="2" spans="1:18" ht="15.75" x14ac:dyDescent="0.2">
      <c r="A2" s="110" t="s">
        <v>117</v>
      </c>
      <c r="B2" s="110"/>
      <c r="C2" s="110"/>
      <c r="D2" s="110"/>
      <c r="E2" s="110"/>
      <c r="F2" s="110"/>
      <c r="G2" s="110"/>
      <c r="H2" s="110"/>
      <c r="I2" s="110"/>
      <c r="J2" s="110"/>
      <c r="K2" s="110"/>
      <c r="L2" s="110"/>
      <c r="M2" s="110"/>
      <c r="N2" s="110"/>
      <c r="O2" s="110"/>
      <c r="P2" s="32"/>
      <c r="Q2" s="32"/>
      <c r="R2" s="32"/>
    </row>
    <row r="3" spans="1:18" ht="15.75" x14ac:dyDescent="0.25">
      <c r="A3" s="117" t="s">
        <v>97</v>
      </c>
      <c r="B3" s="117"/>
      <c r="C3" s="117"/>
      <c r="D3" s="117"/>
      <c r="E3" s="117"/>
      <c r="F3" s="117"/>
      <c r="G3" s="117"/>
      <c r="H3" s="117"/>
      <c r="I3" s="117"/>
      <c r="J3" s="117"/>
      <c r="K3" s="117"/>
      <c r="L3" s="117"/>
      <c r="M3" s="117"/>
      <c r="N3" s="117"/>
      <c r="O3" s="117"/>
    </row>
    <row r="4" spans="1:18" ht="39" customHeight="1" x14ac:dyDescent="0.2">
      <c r="A4" s="14"/>
      <c r="F4" s="36" t="s">
        <v>86</v>
      </c>
      <c r="H4" s="37" t="s">
        <v>90</v>
      </c>
      <c r="I4" s="16"/>
      <c r="J4" s="111" t="s">
        <v>91</v>
      </c>
      <c r="K4" s="112"/>
      <c r="M4" s="19" t="s">
        <v>87</v>
      </c>
      <c r="O4" s="35" t="s">
        <v>88</v>
      </c>
    </row>
    <row r="5" spans="1:18" ht="6.75" customHeight="1" x14ac:dyDescent="0.2"/>
    <row r="6" spans="1:18" ht="15.75" x14ac:dyDescent="0.25">
      <c r="B6" s="11" t="s">
        <v>40</v>
      </c>
      <c r="F6" s="30" t="str">
        <f>IF('Enrollment Input'!$E$14=0,"0",'Enrollment Input'!$E$14)</f>
        <v>0</v>
      </c>
      <c r="J6" s="108" t="str">
        <f>IF('Enrollment Input'!E14=0,"0",'Enrollment Input'!E14)</f>
        <v>0</v>
      </c>
      <c r="K6" s="108"/>
      <c r="L6" s="17" t="s">
        <v>53</v>
      </c>
      <c r="M6" s="13">
        <f>IF('Enrollment Input'!E14=0,0,LOOKUP(J6,criteria!$A$3:$A$10,criteria!$B$3:$B$10))</f>
        <v>0</v>
      </c>
      <c r="N6" s="15" t="s">
        <v>15</v>
      </c>
      <c r="O6" s="13">
        <f>IF(Q6=0,0,IF(Q6&lt;LOOKUP(J6,criteria!$A$3:$A$10,criteria!$C$3:$C$10),LOOKUP(J6,criteria!$A$3:$A$10,criteria!$C$3:$C$10),IF(LOOKUP(J6,criteria!$A$3:$A$10,criteria!$C$3:$C$10)=0,0,Q6)))</f>
        <v>0</v>
      </c>
      <c r="P6" s="10" t="str">
        <f>IF('Enrollment Input'!E14=0," ",IF(O6=0,"ADD to 1-6",IF(O6=Q6," ","Minimum")))</f>
        <v xml:space="preserve"> </v>
      </c>
      <c r="Q6" s="44">
        <f>ROUND(IF('Enrollment Input'!E14=0,0,IF(M6=0,0,(J6/M6))),2)</f>
        <v>0</v>
      </c>
    </row>
    <row r="7" spans="1:18" ht="6.75" customHeight="1" x14ac:dyDescent="0.2">
      <c r="J7" s="26"/>
      <c r="K7" s="26"/>
      <c r="Q7" s="40"/>
    </row>
    <row r="8" spans="1:18" x14ac:dyDescent="0.2">
      <c r="B8" s="11" t="s">
        <v>41</v>
      </c>
      <c r="J8" s="26"/>
      <c r="K8" s="26"/>
      <c r="Q8" s="40"/>
    </row>
    <row r="9" spans="1:18" x14ac:dyDescent="0.2">
      <c r="B9" s="10" t="s">
        <v>89</v>
      </c>
      <c r="J9" s="26"/>
      <c r="K9" s="26"/>
      <c r="Q9" s="40"/>
    </row>
    <row r="10" spans="1:18" ht="16.5" customHeight="1" x14ac:dyDescent="0.25">
      <c r="C10" s="12" t="s">
        <v>42</v>
      </c>
      <c r="F10" s="13" t="str">
        <f>IF(J10=0," ",IF($J$15&gt;300," ",'Enrollment Input'!E17))</f>
        <v xml:space="preserve"> </v>
      </c>
      <c r="G10" s="24" t="s">
        <v>95</v>
      </c>
      <c r="H10" s="30" t="str">
        <f>IF(J10=0," ",'Exceptional Child Calc'!H25)</f>
        <v xml:space="preserve"> </v>
      </c>
      <c r="I10" s="15" t="s">
        <v>15</v>
      </c>
      <c r="J10" s="108">
        <f>IF('Enrollment Input'!E17=0,0,IF(SUM('Enrollment Input'!E17-'Exceptional Child Calc'!H25)+SUM('Enrollment Input'!E18-'Exceptional Child Calc'!H26)&gt;299.99,SUM('Enrollment Input'!E17-'Exceptional Child Calc'!H25),0))</f>
        <v>0</v>
      </c>
      <c r="K10" s="108"/>
      <c r="L10" s="17" t="s">
        <v>53</v>
      </c>
      <c r="M10" s="13">
        <f>IF(SUM('Enrollment Input'!$E$17-'Exceptional Child Calc'!$H$25)+SUM('Enrollment Input'!$E$18-'Exceptional Child Calc'!$H$26)&gt;299.99,20,0)</f>
        <v>0</v>
      </c>
      <c r="N10" s="15" t="s">
        <v>15</v>
      </c>
      <c r="O10" s="13">
        <f>ROUND(IF(SUM('Enrollment Input'!$E$17-'Exceptional Child Calc'!$H$25)+SUM('Enrollment Input'!$E$18-'Exceptional Child Calc'!$H$26)&lt;299.99,0,IF(Q10+Q12&lt;15,0,(J10/M10))),2)</f>
        <v>0</v>
      </c>
      <c r="P10" t="str">
        <f>IF(O10=0," ",IF(O10=Q10," ","Minimum"))</f>
        <v xml:space="preserve"> </v>
      </c>
      <c r="Q10" s="40">
        <f>ROUND(IF(SUM('Enrollment Input'!$E$17-'Exceptional Child Calc'!$H$25)+SUM('Enrollment Input'!$E$18-'Exceptional Child Calc'!$H$26)&lt;299.99,0,(J10/M10)),2)</f>
        <v>0</v>
      </c>
    </row>
    <row r="11" spans="1:18" ht="10.5" customHeight="1" x14ac:dyDescent="0.2">
      <c r="B11" s="12"/>
      <c r="J11" s="26"/>
      <c r="K11" s="26"/>
      <c r="Q11" s="40"/>
    </row>
    <row r="12" spans="1:18" ht="15.75" x14ac:dyDescent="0.25">
      <c r="C12" s="12" t="s">
        <v>43</v>
      </c>
      <c r="F12" s="13" t="str">
        <f>IF(J12=0," ",IF($J$15&gt;300," ",'Enrollment Input'!E18))</f>
        <v xml:space="preserve"> </v>
      </c>
      <c r="G12" s="24" t="s">
        <v>95</v>
      </c>
      <c r="H12" s="30" t="str">
        <f>IF(J12=0," ",'Exceptional Child Calc'!H26)</f>
        <v xml:space="preserve"> </v>
      </c>
      <c r="I12" s="15" t="s">
        <v>15</v>
      </c>
      <c r="J12" s="108">
        <f>IF('Enrollment Input'!E18=0,0,IF(SUM('Enrollment Input'!E17-'Exceptional Child Calc'!H25)+SUM('Enrollment Input'!E18-'Exceptional Child Calc'!H26)&gt;299.99,SUM('Enrollment Input'!E18-'Exceptional Child Calc'!H26),0))</f>
        <v>0</v>
      </c>
      <c r="K12" s="108"/>
      <c r="L12" s="17" t="s">
        <v>53</v>
      </c>
      <c r="M12" s="13">
        <f>IF(SUM('Enrollment Input'!$E$17-'Exceptional Child Calc'!$H$25)+SUM('Enrollment Input'!$E$18-'Exceptional Child Calc'!$H$26)&gt;299.99,23,0)</f>
        <v>0</v>
      </c>
      <c r="N12" s="15" t="s">
        <v>15</v>
      </c>
      <c r="O12" s="13">
        <f>ROUND(IF(SUM('Enrollment Input'!$E$17-'Exceptional Child Calc'!$H$25)+SUM('Enrollment Input'!$E$18-'Exceptional Child Calc'!$H$26)&lt;299.99,0,IF(Q10+Q12&lt;15,0,($J$12/$M$12))),2)</f>
        <v>0</v>
      </c>
      <c r="P12" t="str">
        <f>IF(O12=0," ",IF(O12=Q12," ","Minimum"))</f>
        <v xml:space="preserve"> </v>
      </c>
      <c r="Q12" s="40">
        <f>ROUND(IF(SUM('Enrollment Input'!$E$17-'Exceptional Child Calc'!$H$25)+SUM('Enrollment Input'!$E$18-'Exceptional Child Calc'!$H$26)&lt;299.99,0,($J$12/$M$12)),2)</f>
        <v>0</v>
      </c>
    </row>
    <row r="13" spans="1:18" x14ac:dyDescent="0.2">
      <c r="O13" s="18" t="str">
        <f>IF(P13="Minimum",15," ")</f>
        <v xml:space="preserve"> </v>
      </c>
      <c r="P13" t="str">
        <f>IF(Q10+Q12=0," ",IF(Q10+Q12&lt;15,"Minimum"," "))</f>
        <v xml:space="preserve"> </v>
      </c>
      <c r="Q13" s="40"/>
    </row>
    <row r="14" spans="1:18" x14ac:dyDescent="0.2">
      <c r="B14" s="11" t="s">
        <v>41</v>
      </c>
      <c r="Q14" s="40"/>
    </row>
    <row r="15" spans="1:18" x14ac:dyDescent="0.2">
      <c r="B15" s="10" t="s">
        <v>107</v>
      </c>
      <c r="Q15" s="40"/>
    </row>
    <row r="16" spans="1:18" ht="15.75" x14ac:dyDescent="0.25">
      <c r="C16" s="12" t="s">
        <v>44</v>
      </c>
      <c r="F16" s="13" t="str">
        <f>IF(J16=0," ",IF(J16&lt;300,SUM('Enrollment Input'!E17+'Enrollment Input'!E18)," "))</f>
        <v xml:space="preserve"> </v>
      </c>
      <c r="G16" s="24" t="s">
        <v>95</v>
      </c>
      <c r="H16" s="30" t="str">
        <f>IF(J16=0," ",'Exceptional Child Calc'!H22)</f>
        <v xml:space="preserve"> </v>
      </c>
      <c r="I16" s="15" t="s">
        <v>15</v>
      </c>
      <c r="J16" s="108">
        <f>IF('Enrollment Input'!E17=0,0,IF(SUM('Enrollment Input'!E17-'Exceptional Child Calc'!H25)+SUM('Enrollment Input'!E18-'Exceptional Child Calc'!H26)&lt;300,IF(P6="ADD to 1-6",SUM('Enrollment Input'!E17-'Exceptional Child Calc'!H25)+SUM('Enrollment Input'!E18-'Exceptional Child Calc'!H26)+'Enrollment Input'!E14,SUM('Enrollment Input'!E17-'Exceptional Child Calc'!H25)+SUM('Enrollment Input'!E18-'Exceptional Child Calc'!H26)),0))</f>
        <v>0</v>
      </c>
      <c r="K16" s="108"/>
      <c r="L16" s="17" t="s">
        <v>53</v>
      </c>
      <c r="M16" s="13">
        <f>IF(J16=0,0,LOOKUP(J16,criteria!$M$3:$M$11,criteria!$N$3:$N$11))</f>
        <v>0</v>
      </c>
      <c r="N16" s="15" t="s">
        <v>15</v>
      </c>
      <c r="O16" s="13">
        <f>IF(Q16=0,0,IF(Q16&lt;LOOKUP(J16,criteria!$M$3:$M$10,criteria!$O$3:$O$10),LOOKUP(J16,criteria!$M$3:$M$10,criteria!$O$3:$O$10),Q16))</f>
        <v>0</v>
      </c>
      <c r="P16" t="str">
        <f>IF(O16=0," ",IF(O16=Q16," ","Minimum"))</f>
        <v xml:space="preserve"> </v>
      </c>
      <c r="Q16" s="40">
        <f>ROUND(IF('Enrollment Input'!E17=0,0,IF(SUM('Enrollment Input'!$E$17-'Exceptional Child Calc'!$H$25)+SUM('Enrollment Input'!$E$18-'Exceptional Child Calc'!$H$26)&gt;299.99,0,(J16/M16))),2)</f>
        <v>0</v>
      </c>
    </row>
    <row r="17" spans="1:17" ht="6" customHeight="1" x14ac:dyDescent="0.2">
      <c r="J17" s="26"/>
      <c r="K17" s="26"/>
      <c r="Q17" s="40"/>
    </row>
    <row r="18" spans="1:17" ht="15.75" x14ac:dyDescent="0.25">
      <c r="B18" s="11" t="s">
        <v>45</v>
      </c>
      <c r="F18" s="30">
        <f>IF('Enrollment Input'!$E$20=0,0,'Enrollment Input'!$E$20)</f>
        <v>0</v>
      </c>
      <c r="G18" s="24" t="s">
        <v>95</v>
      </c>
      <c r="H18" s="38"/>
      <c r="I18" s="15" t="s">
        <v>15</v>
      </c>
      <c r="J18" s="108">
        <f>IF('Enrollment Input'!$E$20=0,0,'Enrollment Input'!$E$20)</f>
        <v>0</v>
      </c>
      <c r="K18" s="108"/>
      <c r="L18" s="17" t="s">
        <v>53</v>
      </c>
      <c r="M18" s="13">
        <f>IF('Enrollment Input'!C20=0,0,IF(J18&gt;99.99,LOOKUP(J18,criteria!Q3:Q10,criteria!R3:R10),LOOKUP('Enrollment Input'!F21,criteria!Y3:Y5,criteria!Z3:Z5)))</f>
        <v>0</v>
      </c>
      <c r="N18" s="15" t="s">
        <v>15</v>
      </c>
      <c r="O18" s="13">
        <f>ROUND(IF(J18=0,0,IF(J18&lt;99.99,IF(M18=0,8,(J18/M18)),IF(Q18&lt;LOOKUP(J18,criteria!$Q$3:$Q$10,criteria!$S$3:$S$10),LOOKUP(J18,criteria!$Q$3:$Q$10,criteria!$S$3:$S$10),Q18))),2)</f>
        <v>0</v>
      </c>
      <c r="P18" t="str">
        <f>IF(O18=0," ",IF(O18=Q18," ","Minimum"))</f>
        <v xml:space="preserve"> </v>
      </c>
      <c r="Q18" s="40">
        <f>ROUND(IF(M18=0,0,(J18/M18)),2)</f>
        <v>0</v>
      </c>
    </row>
    <row r="19" spans="1:17" x14ac:dyDescent="0.2">
      <c r="B19" s="11"/>
      <c r="J19" s="29"/>
      <c r="K19" s="29"/>
      <c r="M19" s="16"/>
      <c r="N19" s="15"/>
      <c r="O19" s="16"/>
      <c r="Q19" s="40"/>
    </row>
    <row r="20" spans="1:17" ht="15" x14ac:dyDescent="0.2">
      <c r="A20" s="7" t="s">
        <v>74</v>
      </c>
      <c r="J20" s="26"/>
      <c r="K20" s="26"/>
      <c r="Q20" s="40"/>
    </row>
    <row r="21" spans="1:17" ht="3.75" customHeight="1" x14ac:dyDescent="0.2">
      <c r="J21" s="26"/>
      <c r="K21" s="26"/>
      <c r="Q21" s="40"/>
    </row>
    <row r="22" spans="1:17" x14ac:dyDescent="0.2">
      <c r="B22" t="s">
        <v>92</v>
      </c>
      <c r="J22" s="108" t="str">
        <f>IF('Exceptional Child Calc'!H55=0," ",'Exceptional Child Calc'!H55)</f>
        <v xml:space="preserve"> </v>
      </c>
      <c r="K22" s="108"/>
      <c r="Q22" s="40"/>
    </row>
    <row r="23" spans="1:17" ht="7.5" customHeight="1" x14ac:dyDescent="0.2">
      <c r="J23" s="26"/>
      <c r="K23" s="26"/>
      <c r="Q23" s="40"/>
    </row>
    <row r="24" spans="1:17" x14ac:dyDescent="0.2">
      <c r="B24" t="s">
        <v>93</v>
      </c>
      <c r="J24" s="108" t="str">
        <f>IF('Exceptional Child Calc'!H22=0," ",'Exceptional Child Calc'!H22)</f>
        <v xml:space="preserve"> </v>
      </c>
      <c r="K24" s="108"/>
      <c r="Q24" s="40"/>
    </row>
    <row r="25" spans="1:17" ht="7.5" customHeight="1" x14ac:dyDescent="0.2">
      <c r="J25" s="26"/>
      <c r="K25" s="26"/>
      <c r="Q25" s="40"/>
    </row>
    <row r="26" spans="1:17" x14ac:dyDescent="0.2">
      <c r="B26" t="s">
        <v>94</v>
      </c>
      <c r="J26" s="108">
        <f>0</f>
        <v>0</v>
      </c>
      <c r="K26" s="108"/>
      <c r="Q26" s="40"/>
    </row>
    <row r="27" spans="1:17" ht="7.5" customHeight="1" x14ac:dyDescent="0.2">
      <c r="J27" s="26"/>
      <c r="K27" s="26"/>
      <c r="Q27" s="40"/>
    </row>
    <row r="28" spans="1:17" x14ac:dyDescent="0.2">
      <c r="B28" t="s">
        <v>51</v>
      </c>
      <c r="J28" s="108" t="str">
        <f>IF('Enrollment Input'!E54=0," ",'Enrollment Input'!E54)</f>
        <v xml:space="preserve"> </v>
      </c>
      <c r="K28" s="108"/>
      <c r="Q28" s="40"/>
    </row>
    <row r="29" spans="1:17" ht="6" customHeight="1" x14ac:dyDescent="0.2">
      <c r="J29" s="29"/>
      <c r="K29" s="29"/>
      <c r="Q29" s="40"/>
    </row>
    <row r="30" spans="1:17" ht="16.5" thickBot="1" x14ac:dyDescent="0.3">
      <c r="B30" s="1" t="s">
        <v>96</v>
      </c>
      <c r="J30" s="109">
        <f>SUM(J22:K28)</f>
        <v>0</v>
      </c>
      <c r="K30" s="109"/>
      <c r="L30" s="17" t="s">
        <v>53</v>
      </c>
      <c r="M30" s="13">
        <f>IF(SUM('Enrollment Input'!C14:C20)=0,0,IF(J30&gt;=14,LOOKUP(J30,criteria!$U$3:$U$10,criteria!$V$3:$V$10),0))</f>
        <v>0</v>
      </c>
      <c r="N30" s="15" t="s">
        <v>15</v>
      </c>
      <c r="O30" s="13">
        <f>IF(J30=0,0,IF(Q30&lt;LOOKUP(J30,criteria!$U$3:$U$10,criteria!$W$3:$W$10),LOOKUP(J30,criteria!$U$3:$U$10,criteria!$W$3:$W$10),Q30))</f>
        <v>0</v>
      </c>
      <c r="P30" t="str">
        <f>IF(O30=0," ",IF(O30=Q30," ","Minimum"))</f>
        <v xml:space="preserve"> </v>
      </c>
      <c r="Q30" s="40">
        <f>ROUND(IF(SUM('Enrollment Input'!C14:C20)=0,0,IF(M30=0,0,(J30/M30))),2)</f>
        <v>0</v>
      </c>
    </row>
    <row r="31" spans="1:17" ht="11.25" customHeight="1" thickTop="1" x14ac:dyDescent="0.25">
      <c r="B31" s="1"/>
      <c r="J31" s="29"/>
      <c r="K31" s="29"/>
      <c r="L31" s="17"/>
      <c r="M31" s="16"/>
      <c r="N31" s="15"/>
      <c r="O31" s="16"/>
      <c r="Q31" s="40"/>
    </row>
    <row r="32" spans="1:17" ht="15.75" x14ac:dyDescent="0.25">
      <c r="A32" s="4" t="s">
        <v>46</v>
      </c>
      <c r="Q32" s="40"/>
    </row>
    <row r="33" spans="1:17" ht="7.5" customHeight="1" x14ac:dyDescent="0.2">
      <c r="Q33" s="40"/>
    </row>
    <row r="34" spans="1:17" ht="12.75" customHeight="1" x14ac:dyDescent="0.25">
      <c r="A34" s="15" t="s">
        <v>100</v>
      </c>
      <c r="B34" s="33" t="str">
        <f>'Enrollment Input'!B23</f>
        <v xml:space="preserve">Kindergarten </v>
      </c>
      <c r="C34" s="33"/>
      <c r="D34" s="33"/>
      <c r="E34" s="33"/>
      <c r="F34" s="33"/>
      <c r="G34" s="33"/>
      <c r="H34" s="5"/>
      <c r="I34" s="5"/>
      <c r="J34" s="108" t="str">
        <f>IF('Enrollment Input'!E23=0," ",'Enrollment Input'!E23)</f>
        <v xml:space="preserve"> </v>
      </c>
      <c r="K34" s="108"/>
      <c r="L34" s="17" t="s">
        <v>53</v>
      </c>
      <c r="M34" s="13">
        <f>IF('Enrollment Input'!E23=0,0,LOOKUP(J34,criteria!$A$3:$A$10,criteria!$B$3:$B$10))</f>
        <v>0</v>
      </c>
      <c r="N34" s="15" t="s">
        <v>15</v>
      </c>
      <c r="O34" s="13">
        <f>IF(Q34=0,0,IF(LOOKUP(J34,criteria!$A$3:$A$10,criteria!$C$3:$C$10)=0,0,IF(Q34&lt;LOOKUP(J34,criteria!$A$3:$A$10,criteria!$C$3:$C$10),LOOKUP(J34,criteria!$A$3:$A$10,criteria!$C$3:$C$10),Q34)))</f>
        <v>0</v>
      </c>
      <c r="P34" s="10" t="str">
        <f>IF('Enrollment Input'!E23=0," ",IF(O34=0,"ADD to 1-6",IF(O34=Q34," ","Minimum")))</f>
        <v xml:space="preserve"> </v>
      </c>
      <c r="Q34" s="40">
        <f>ROUND(IF('Enrollment Input'!E23=0,0,IF(M34=0,0,(J34/M34))),2)</f>
        <v>0</v>
      </c>
    </row>
    <row r="35" spans="1:17" ht="6" customHeight="1" x14ac:dyDescent="0.2">
      <c r="A35" s="15"/>
      <c r="H35" s="6"/>
      <c r="J35" s="27"/>
      <c r="K35" s="27"/>
      <c r="Q35" s="40"/>
    </row>
    <row r="36" spans="1:17" ht="12.75" customHeight="1" x14ac:dyDescent="0.25">
      <c r="A36" s="15"/>
      <c r="B36" s="33" t="str">
        <f>'Enrollment Input'!B24</f>
        <v>Grades 1-6</v>
      </c>
      <c r="C36" s="33"/>
      <c r="D36" s="33"/>
      <c r="E36" s="33"/>
      <c r="F36" s="33"/>
      <c r="G36" s="33"/>
      <c r="H36" s="5"/>
      <c r="I36" s="5"/>
      <c r="J36" s="108" t="str">
        <f>IF('Enrollment Input'!E24=0," ",IF(P34="ADD to 1-6",SUM('Enrollment Input'!E24+'Enrollment Input'!E23),'Enrollment Input'!E24))</f>
        <v xml:space="preserve"> </v>
      </c>
      <c r="K36" s="108"/>
      <c r="L36" s="17" t="s">
        <v>53</v>
      </c>
      <c r="M36" s="13">
        <f>IF('Enrollment Input'!E24=0,0,LOOKUP(J36,criteria!$M$3:$M$10,criteria!$N$3:$N$10))</f>
        <v>0</v>
      </c>
      <c r="N36" s="15" t="s">
        <v>15</v>
      </c>
      <c r="O36" s="13">
        <f>IF(Q36=0,0,IF(Q36&lt;LOOKUP(J36,criteria!$M$3:$M$10,criteria!$O$3:$O$10),LOOKUP(J36,criteria!$M$3:$M$10,criteria!$O$3:$O$10),Q36))</f>
        <v>0</v>
      </c>
      <c r="P36" t="str">
        <f>IF(O36=0," ",IF(O36=Q36," ","Minimum"))</f>
        <v xml:space="preserve"> </v>
      </c>
      <c r="Q36" s="40">
        <f>ROUND(IF('Enrollment Input'!E24=0,0,(J36/M36)),2)</f>
        <v>0</v>
      </c>
    </row>
    <row r="37" spans="1:17" ht="6.75" customHeight="1" x14ac:dyDescent="0.2">
      <c r="A37" s="15"/>
      <c r="B37" s="34"/>
      <c r="C37" s="34"/>
      <c r="D37" s="34"/>
      <c r="E37" s="34"/>
      <c r="F37" s="34"/>
      <c r="G37" s="34"/>
      <c r="H37" s="5"/>
      <c r="J37" s="28"/>
      <c r="K37" s="28"/>
      <c r="Q37" s="40"/>
    </row>
    <row r="38" spans="1:17" ht="12.75" customHeight="1" x14ac:dyDescent="0.25">
      <c r="A38" s="15"/>
      <c r="B38" s="33" t="str">
        <f>'Enrollment Input'!B25</f>
        <v xml:space="preserve">Secondary </v>
      </c>
      <c r="C38" s="33"/>
      <c r="D38" s="33"/>
      <c r="E38" s="33"/>
      <c r="F38" s="33"/>
      <c r="G38" s="33"/>
      <c r="H38" s="5"/>
      <c r="I38" s="5"/>
      <c r="J38" s="108" t="str">
        <f>IF('Enrollment Input'!E25=0," ",'Enrollment Input'!E25)</f>
        <v xml:space="preserve"> </v>
      </c>
      <c r="K38" s="108"/>
      <c r="L38" s="17" t="s">
        <v>53</v>
      </c>
      <c r="M38" s="13">
        <f>IF(J38=" ",0,IF(J38&gt;99.99,LOOKUP(J38,criteria!Q3:Q10,criteria!R3:R10),LOOKUP('Enrollment Input'!F26,criteria!Y3:Y5,criteria!Z3:Z5)))</f>
        <v>0</v>
      </c>
      <c r="N38" s="15" t="s">
        <v>15</v>
      </c>
      <c r="O38" s="13">
        <f>ROUND(IF(J38=" ",0,IF(J38&lt;99.99,IF(M38=0,8,(J38/M38)),IF(Q38&lt;LOOKUP(J38,criteria!$Q$3:$Q$10,criteria!$S$3:$S$10),LOOKUP(J38,criteria!$Q$3:$Q$10,criteria!$S$3:$S$10),Q38))),2)</f>
        <v>0</v>
      </c>
      <c r="P38" t="str">
        <f>IF(O38=0," ",IF(O38=Q38," ","Minimum"))</f>
        <v xml:space="preserve"> </v>
      </c>
      <c r="Q38" s="40">
        <f>ROUND(IF(M38=0,0,(J38/M38)),2)</f>
        <v>0</v>
      </c>
    </row>
    <row r="39" spans="1:17" ht="6.75" customHeight="1" x14ac:dyDescent="0.2">
      <c r="A39" s="15"/>
      <c r="B39" s="34"/>
      <c r="C39" s="34"/>
      <c r="D39" s="34"/>
      <c r="E39" s="34"/>
      <c r="F39" s="34"/>
      <c r="G39" s="34"/>
      <c r="H39" s="5"/>
      <c r="J39" s="26"/>
      <c r="K39" s="26"/>
      <c r="Q39" s="40"/>
    </row>
    <row r="40" spans="1:17" ht="12.75" customHeight="1" x14ac:dyDescent="0.25">
      <c r="A40" s="15" t="s">
        <v>101</v>
      </c>
      <c r="B40" s="33" t="str">
        <f>'Enrollment Input'!B27</f>
        <v xml:space="preserve">Kindergarten </v>
      </c>
      <c r="C40" s="33"/>
      <c r="D40" s="33"/>
      <c r="E40" s="33"/>
      <c r="F40" s="33"/>
      <c r="G40" s="33"/>
      <c r="H40" s="5"/>
      <c r="I40" s="5"/>
      <c r="J40" s="108" t="str">
        <f>IF('Enrollment Input'!E27=0," ",'Enrollment Input'!E27)</f>
        <v xml:space="preserve"> </v>
      </c>
      <c r="K40" s="108"/>
      <c r="L40" s="17" t="s">
        <v>53</v>
      </c>
      <c r="M40" s="13">
        <f>IF('Enrollment Input'!E27=0,0,LOOKUP(J40,criteria!$A$3:$A$10,criteria!$B$3:$B$10))</f>
        <v>0</v>
      </c>
      <c r="N40" s="15" t="s">
        <v>15</v>
      </c>
      <c r="O40" s="13">
        <f>IF(Q40=0,0,IF(LOOKUP(J40,criteria!$A$3:$A$10,criteria!$C$3:$C$10)=0,0,IF(Q40&lt;LOOKUP(J40,criteria!$A$3:$A$10,criteria!$C$3:$C$10),LOOKUP(J40,criteria!$A$3:$A$10,criteria!$C$3:$C$10),Q40)))</f>
        <v>0</v>
      </c>
      <c r="P40" s="10" t="str">
        <f>IF('Enrollment Input'!E27=0," ",IF(O40=0,"ADD to 1-6",IF(O40=Q40," ","Minimum")))</f>
        <v xml:space="preserve"> </v>
      </c>
      <c r="Q40" s="40">
        <f>ROUND(IF('Enrollment Input'!E27=0,0,IF(M40=0,0,(J40/M40))),2)</f>
        <v>0</v>
      </c>
    </row>
    <row r="41" spans="1:17" ht="6.75" customHeight="1" x14ac:dyDescent="0.2">
      <c r="A41" s="15"/>
      <c r="B41" s="34"/>
      <c r="C41" s="34"/>
      <c r="D41" s="34"/>
      <c r="E41" s="34"/>
      <c r="F41" s="34"/>
      <c r="G41" s="34"/>
      <c r="H41" s="5"/>
      <c r="J41" s="26"/>
      <c r="K41" s="26"/>
      <c r="Q41" s="40"/>
    </row>
    <row r="42" spans="1:17" ht="12.75" customHeight="1" x14ac:dyDescent="0.25">
      <c r="A42" s="15"/>
      <c r="B42" s="33" t="str">
        <f>'Enrollment Input'!B28</f>
        <v>Grades 1-6</v>
      </c>
      <c r="C42" s="33"/>
      <c r="D42" s="33"/>
      <c r="E42" s="33"/>
      <c r="F42" s="33"/>
      <c r="G42" s="33"/>
      <c r="H42" s="5"/>
      <c r="I42" s="5"/>
      <c r="J42" s="108" t="str">
        <f>IF('Enrollment Input'!E28=0," ",IF(P40="ADD to 1-6",SUM('Enrollment Input'!E28+'Enrollment Input'!E27),'Enrollment Input'!E28))</f>
        <v xml:space="preserve"> </v>
      </c>
      <c r="K42" s="108"/>
      <c r="L42" s="17" t="s">
        <v>53</v>
      </c>
      <c r="M42" s="13">
        <f>IF('Enrollment Input'!E28=0,0,LOOKUP(J42,criteria!$M$3:$M$10,criteria!$N$3:$N$10))</f>
        <v>0</v>
      </c>
      <c r="N42" s="15" t="s">
        <v>15</v>
      </c>
      <c r="O42" s="13">
        <f>IF(Q42=0,0,IF(Q42&lt;LOOKUP(J42,criteria!$M$3:$M$10,criteria!$O$3:$O$10),LOOKUP(J42,criteria!$M$3:$M$10,criteria!$O$3:$O$10),Q42))</f>
        <v>0</v>
      </c>
      <c r="P42" t="str">
        <f>IF(O42=0," ",IF(O42=Q42," ","Minimum"))</f>
        <v xml:space="preserve"> </v>
      </c>
      <c r="Q42" s="40">
        <f>ROUND(IF('Enrollment Input'!E28=0,0,(J42/M42)),2)</f>
        <v>0</v>
      </c>
    </row>
    <row r="43" spans="1:17" ht="6.75" customHeight="1" x14ac:dyDescent="0.2">
      <c r="A43" s="15"/>
      <c r="B43" s="34"/>
      <c r="C43" s="34"/>
      <c r="D43" s="34"/>
      <c r="E43" s="34"/>
      <c r="F43" s="34"/>
      <c r="G43" s="34"/>
      <c r="H43" s="5"/>
      <c r="J43" s="26"/>
      <c r="K43" s="26"/>
      <c r="Q43" s="40"/>
    </row>
    <row r="44" spans="1:17" ht="12.75" customHeight="1" x14ac:dyDescent="0.25">
      <c r="A44" s="15"/>
      <c r="B44" s="33" t="str">
        <f>'Enrollment Input'!B29</f>
        <v xml:space="preserve">Secondary </v>
      </c>
      <c r="C44" s="33"/>
      <c r="D44" s="33"/>
      <c r="E44" s="33"/>
      <c r="F44" s="33"/>
      <c r="G44" s="33"/>
      <c r="H44" s="5"/>
      <c r="I44" s="5"/>
      <c r="J44" s="108" t="str">
        <f>IF('Enrollment Input'!E29=0," ",'Enrollment Input'!E29)</f>
        <v xml:space="preserve"> </v>
      </c>
      <c r="K44" s="108"/>
      <c r="L44" s="17" t="s">
        <v>53</v>
      </c>
      <c r="M44" s="13">
        <f>IF(J44=" ",0,IF(J44&gt;99.99,LOOKUP(J44,criteria!Q3:Q10,criteria!R3:R10),LOOKUP('Enrollment Input'!F30,criteria!Y3:Y5,criteria!Z3:Z5)))</f>
        <v>0</v>
      </c>
      <c r="N44" s="15" t="s">
        <v>15</v>
      </c>
      <c r="O44" s="13">
        <f>ROUND(IF(J44=" ",0,IF(J44&lt;99.99,IF(M44=0,8,(J44/M44)),IF(Q44&lt;LOOKUP(J44,criteria!$Q$3:$Q$10,criteria!$S$3:$S$10),LOOKUP(J44,criteria!$Q$3:$Q$10,criteria!$S$3:$S$10),Q44))),2)</f>
        <v>0</v>
      </c>
      <c r="P44" t="str">
        <f>IF(O44=0," ",IF(O44=Q44," ","Minimum"))</f>
        <v xml:space="preserve"> </v>
      </c>
      <c r="Q44" s="40">
        <f>ROUND(IF(M44=0,0,(J44/M44)),2)</f>
        <v>0</v>
      </c>
    </row>
    <row r="45" spans="1:17" ht="6.75" customHeight="1" x14ac:dyDescent="0.2">
      <c r="A45" s="15"/>
      <c r="B45" s="34"/>
      <c r="C45" s="34"/>
      <c r="D45" s="34"/>
      <c r="E45" s="34"/>
      <c r="F45" s="34"/>
      <c r="G45" s="34"/>
      <c r="H45" s="5"/>
      <c r="J45" s="26"/>
      <c r="K45" s="26"/>
      <c r="Q45" s="40"/>
    </row>
    <row r="46" spans="1:17" ht="12.75" customHeight="1" x14ac:dyDescent="0.25">
      <c r="A46" s="15" t="s">
        <v>102</v>
      </c>
      <c r="B46" s="33" t="str">
        <f>'Enrollment Input'!B31</f>
        <v xml:space="preserve">Kindergarten </v>
      </c>
      <c r="C46" s="33"/>
      <c r="D46" s="33"/>
      <c r="E46" s="33"/>
      <c r="F46" s="33"/>
      <c r="G46" s="33"/>
      <c r="H46" s="5"/>
      <c r="I46" s="5"/>
      <c r="J46" s="108" t="str">
        <f>IF('Enrollment Input'!E31=0," ",'Enrollment Input'!E31)</f>
        <v xml:space="preserve"> </v>
      </c>
      <c r="K46" s="108"/>
      <c r="L46" s="17" t="s">
        <v>53</v>
      </c>
      <c r="M46" s="13">
        <f>IF('Enrollment Input'!E31=0,0,LOOKUP(J46,criteria!$A$3:$A$10,criteria!$B$3:$B$10))</f>
        <v>0</v>
      </c>
      <c r="N46" s="15" t="s">
        <v>15</v>
      </c>
      <c r="O46" s="13">
        <f>IF(Q46=0,0,IF(LOOKUP(J46,criteria!$A$3:$A$10,criteria!$C$3:$C$10)=0,0,IF(Q46&lt;LOOKUP(J46,criteria!$A$3:$A$10,criteria!$C$3:$C$10),LOOKUP(J46,criteria!$A$3:$A$10,criteria!$C$3:$C$10),Q46)))</f>
        <v>0</v>
      </c>
      <c r="P46" s="10" t="str">
        <f>IF('Enrollment Input'!E31=0," ",IF(O46=0,"ADD to 1-6",IF(O46=Q46," ","Minimum")))</f>
        <v xml:space="preserve"> </v>
      </c>
      <c r="Q46" s="40">
        <f>ROUND(IF('Enrollment Input'!E33=0,0,IF(M46=0,0,(J46/M46))),2)</f>
        <v>0</v>
      </c>
    </row>
    <row r="47" spans="1:17" ht="6.75" customHeight="1" x14ac:dyDescent="0.2">
      <c r="A47" s="15"/>
      <c r="B47" s="34"/>
      <c r="C47" s="34"/>
      <c r="D47" s="34"/>
      <c r="E47" s="34"/>
      <c r="F47" s="34"/>
      <c r="G47" s="34"/>
      <c r="H47" s="5"/>
      <c r="J47" s="26"/>
      <c r="K47" s="26"/>
      <c r="Q47" s="40"/>
    </row>
    <row r="48" spans="1:17" ht="12.75" customHeight="1" x14ac:dyDescent="0.25">
      <c r="A48" s="15"/>
      <c r="B48" s="33" t="str">
        <f>'Enrollment Input'!B32</f>
        <v>Grades 1-6</v>
      </c>
      <c r="C48" s="33"/>
      <c r="D48" s="33"/>
      <c r="E48" s="33"/>
      <c r="F48" s="33"/>
      <c r="G48" s="33"/>
      <c r="H48" s="5"/>
      <c r="I48" s="5"/>
      <c r="J48" s="108" t="str">
        <f>IF('Enrollment Input'!E32=0," ",IF(P46="ADD to 1-6",SUM('Enrollment Input'!E31+'Enrollment Input'!E32),'Enrollment Input'!E32))</f>
        <v xml:space="preserve"> </v>
      </c>
      <c r="K48" s="108"/>
      <c r="L48" s="17" t="s">
        <v>53</v>
      </c>
      <c r="M48" s="13">
        <f>IF('Enrollment Input'!E32=0,0,LOOKUP(J48,criteria!$M$3:$M$10,criteria!$N$3:$N$10))</f>
        <v>0</v>
      </c>
      <c r="N48" s="15" t="s">
        <v>15</v>
      </c>
      <c r="O48" s="13">
        <f>IF(Q48=0,0,IF(Q48&lt;LOOKUP(J48,criteria!$M$3:$M$10,criteria!$O$3:$O$10),LOOKUP(J48,criteria!$M$3:$M$10,criteria!$O$3:$O$10),Q48))</f>
        <v>0</v>
      </c>
      <c r="P48" t="str">
        <f>IF(O48=0," ",IF(O48=Q48," ","Minimum"))</f>
        <v xml:space="preserve"> </v>
      </c>
      <c r="Q48" s="40">
        <f>ROUND(IF('Enrollment Input'!E32=0,0,(J48/M48)),2)</f>
        <v>0</v>
      </c>
    </row>
    <row r="49" spans="1:17" ht="6.75" customHeight="1" x14ac:dyDescent="0.2">
      <c r="A49" s="15"/>
      <c r="B49" s="34"/>
      <c r="C49" s="34"/>
      <c r="D49" s="34"/>
      <c r="E49" s="34"/>
      <c r="F49" s="34"/>
      <c r="G49" s="34"/>
      <c r="H49" s="5"/>
      <c r="J49" s="26"/>
      <c r="K49" s="26"/>
      <c r="Q49" s="40"/>
    </row>
    <row r="50" spans="1:17" ht="12.75" customHeight="1" x14ac:dyDescent="0.25">
      <c r="A50" s="15"/>
      <c r="B50" s="33" t="str">
        <f>'Enrollment Input'!B33</f>
        <v xml:space="preserve">Secondary </v>
      </c>
      <c r="C50" s="33"/>
      <c r="D50" s="33"/>
      <c r="E50" s="33"/>
      <c r="F50" s="33"/>
      <c r="G50" s="33"/>
      <c r="H50" s="5"/>
      <c r="I50" s="5"/>
      <c r="J50" s="108" t="str">
        <f>IF('Enrollment Input'!E33=0," ",'Enrollment Input'!E33)</f>
        <v xml:space="preserve"> </v>
      </c>
      <c r="K50" s="108"/>
      <c r="L50" s="17" t="s">
        <v>53</v>
      </c>
      <c r="M50" s="13">
        <f>IF(J50=" ",0,IF(J50&gt;99.99,LOOKUP(J50,criteria!Q3:Q9,criteria!R3:R9),LOOKUP('Enrollment Input'!F34,criteria!Y3:Y5,criteria!Z3:Z51)))</f>
        <v>0</v>
      </c>
      <c r="N50" s="15" t="s">
        <v>15</v>
      </c>
      <c r="O50" s="13">
        <f>ROUND(IF(J50=" ",0,IF(J50&lt;99.99,IF(M50=0,8,(J50/M50)),IF(Q50&lt;LOOKUP(J50,criteria!$Q$3:$Q$10,criteria!$S$3:$S$10),LOOKUP(J50,criteria!$Q$3:$Q$10,criteria!$S$3:$S$10),Q50))),2)</f>
        <v>0</v>
      </c>
      <c r="P50" t="str">
        <f>IF(O50=0," ",IF(O50=Q50," ","Minimum"))</f>
        <v xml:space="preserve"> </v>
      </c>
      <c r="Q50" s="40">
        <f>ROUND(IF(M50=0,0,(J50/M50)),2)</f>
        <v>0</v>
      </c>
    </row>
    <row r="51" spans="1:17" ht="6.75" customHeight="1" x14ac:dyDescent="0.2">
      <c r="A51" s="15"/>
      <c r="B51" s="34"/>
      <c r="C51" s="34"/>
      <c r="D51" s="34"/>
      <c r="E51" s="34"/>
      <c r="F51" s="34"/>
      <c r="G51" s="34"/>
      <c r="H51" s="5"/>
      <c r="J51" s="26"/>
      <c r="K51" s="26"/>
      <c r="Q51" s="40"/>
    </row>
    <row r="52" spans="1:17" ht="12.75" customHeight="1" x14ac:dyDescent="0.25">
      <c r="A52" s="15" t="s">
        <v>103</v>
      </c>
      <c r="B52" s="33" t="str">
        <f>'Enrollment Input'!B35</f>
        <v xml:space="preserve">Kindergarten </v>
      </c>
      <c r="C52" s="33"/>
      <c r="D52" s="33"/>
      <c r="E52" s="33"/>
      <c r="F52" s="33"/>
      <c r="G52" s="33"/>
      <c r="H52" s="5"/>
      <c r="I52" s="5"/>
      <c r="J52" s="108" t="str">
        <f>IF('Enrollment Input'!E35=0," ",'Enrollment Input'!E35)</f>
        <v xml:space="preserve"> </v>
      </c>
      <c r="K52" s="108"/>
      <c r="L52" s="17" t="s">
        <v>53</v>
      </c>
      <c r="M52" s="13">
        <f>IF('Enrollment Input'!E35=0,0,LOOKUP(J52,criteria!$A$3:$A$10,criteria!$B$3:$B$10))</f>
        <v>0</v>
      </c>
      <c r="N52" s="15" t="s">
        <v>15</v>
      </c>
      <c r="O52" s="13">
        <f>IF(Q52=0,0,IF(LOOKUP(J52,criteria!$A$3:$A$10,criteria!$C$3:$C$10)=0,0,IF(Q52&lt;LOOKUP(J52,criteria!$A$3:$A$10,criteria!$C$3:$C$10),LOOKUP(J52,criteria!$A$3:$A$10,criteria!$C$3:$C$10),Q52)))</f>
        <v>0</v>
      </c>
      <c r="P52" s="10" t="str">
        <f>IF('Enrollment Input'!E37=0," ",IF(O52=0,"ADD to 1-6",IF(O52=Q52," ","Minimum")))</f>
        <v xml:space="preserve"> </v>
      </c>
      <c r="Q52" s="40">
        <f>ROUND(IF('Enrollment Input'!E39=0,0,IF(M52=0,0,(J52/M52))),2)</f>
        <v>0</v>
      </c>
    </row>
    <row r="53" spans="1:17" ht="6.75" customHeight="1" x14ac:dyDescent="0.2">
      <c r="A53" s="15"/>
      <c r="B53" s="34"/>
      <c r="C53" s="34"/>
      <c r="D53" s="34"/>
      <c r="E53" s="34"/>
      <c r="F53" s="34"/>
      <c r="G53" s="34"/>
      <c r="H53" s="5"/>
      <c r="J53" s="26"/>
      <c r="K53" s="26"/>
      <c r="Q53" s="40"/>
    </row>
    <row r="54" spans="1:17" ht="12.75" customHeight="1" x14ac:dyDescent="0.25">
      <c r="A54" s="15"/>
      <c r="B54" s="33" t="str">
        <f>'Enrollment Input'!B36</f>
        <v>Grades 1-6</v>
      </c>
      <c r="C54" s="33"/>
      <c r="D54" s="33"/>
      <c r="E54" s="33"/>
      <c r="F54" s="33"/>
      <c r="G54" s="33"/>
      <c r="H54" s="5"/>
      <c r="I54" s="5"/>
      <c r="J54" s="108" t="str">
        <f>IF('Enrollment Input'!E36=0," ",IF(P52="ADD to 1-6",SUM('Enrollment Input'!E35+'Enrollment Input'!E36),'Enrollment Input'!E36))</f>
        <v xml:space="preserve"> </v>
      </c>
      <c r="K54" s="108"/>
      <c r="L54" s="17" t="s">
        <v>53</v>
      </c>
      <c r="M54" s="13">
        <f>IF('Enrollment Input'!E36=0,0,LOOKUP(J54,criteria!$M$3:$M$10,criteria!$N$3:$N$10))</f>
        <v>0</v>
      </c>
      <c r="N54" s="15" t="s">
        <v>15</v>
      </c>
      <c r="O54" s="13">
        <f>IF(Q54=0,0,IF(Q54&lt;LOOKUP(J54,criteria!$M$3:$M$10,criteria!$O$3:$O$10),LOOKUP(J54,criteria!$M$3:$M$10,criteria!$O$3:$O$10),Q54))</f>
        <v>0</v>
      </c>
      <c r="P54" t="str">
        <f>IF(O54=0," ",IF(O54=Q54," ","Minimum"))</f>
        <v xml:space="preserve"> </v>
      </c>
      <c r="Q54" s="40">
        <f>ROUND(IF('Enrollment Input'!E36=0,0,(J54/M54)),2)</f>
        <v>0</v>
      </c>
    </row>
    <row r="55" spans="1:17" ht="6.75" customHeight="1" x14ac:dyDescent="0.2">
      <c r="A55" s="15"/>
      <c r="B55" s="34"/>
      <c r="C55" s="34"/>
      <c r="D55" s="34"/>
      <c r="E55" s="34"/>
      <c r="F55" s="34"/>
      <c r="G55" s="34"/>
      <c r="H55" s="5"/>
      <c r="J55" s="26"/>
      <c r="K55" s="26"/>
      <c r="Q55" s="40"/>
    </row>
    <row r="56" spans="1:17" ht="12.75" customHeight="1" x14ac:dyDescent="0.25">
      <c r="A56" s="15"/>
      <c r="B56" s="33" t="str">
        <f>'Enrollment Input'!B37</f>
        <v xml:space="preserve">Secondary </v>
      </c>
      <c r="C56" s="33"/>
      <c r="D56" s="33"/>
      <c r="E56" s="33"/>
      <c r="F56" s="33"/>
      <c r="G56" s="33"/>
      <c r="H56" s="5"/>
      <c r="I56" s="5"/>
      <c r="J56" s="108" t="str">
        <f>IF('Enrollment Input'!E37=0," ",'Enrollment Input'!E37)</f>
        <v xml:space="preserve"> </v>
      </c>
      <c r="K56" s="108"/>
      <c r="L56" s="17" t="s">
        <v>53</v>
      </c>
      <c r="M56" s="13">
        <f>IF(J56=" ",0,IF(J56&gt;99.99,LOOKUP(J56,criteria!Q3:Q10,criteria!R3:R10),LOOKUP('Enrollment Input'!F38,criteria!Y3:Y5,criteria!Z3:Z5)))</f>
        <v>0</v>
      </c>
      <c r="N56" s="15" t="s">
        <v>15</v>
      </c>
      <c r="O56" s="13">
        <f>ROUND(IF(J56=" ",0,IF(J56&lt;99.99,IF(M56=0,8,(J56/M56)),IF(Q56&lt;LOOKUP(J56,criteria!$Q$3:$Q$10,criteria!$S$3:$S$10),LOOKUP(J56,criteria!$Q$3:$Q$10,criteria!$S$3:$S$10),Q56))),2)</f>
        <v>0</v>
      </c>
      <c r="P56" t="str">
        <f>IF(O56=0," ",IF(O56=Q56," ","Minimum"))</f>
        <v xml:space="preserve"> </v>
      </c>
      <c r="Q56" s="40">
        <f>ROUND(IF(M56=0,0,(J56/M56)),2)</f>
        <v>0</v>
      </c>
    </row>
    <row r="57" spans="1:17" ht="6.75" customHeight="1" x14ac:dyDescent="0.2">
      <c r="A57" s="15"/>
      <c r="B57" s="34"/>
      <c r="C57" s="34"/>
      <c r="D57" s="34"/>
      <c r="E57" s="34"/>
      <c r="F57" s="34"/>
      <c r="G57" s="34"/>
      <c r="H57" s="5"/>
      <c r="J57" s="26"/>
      <c r="K57" s="26"/>
      <c r="Q57" s="40"/>
    </row>
    <row r="58" spans="1:17" ht="12.75" customHeight="1" x14ac:dyDescent="0.25">
      <c r="A58" s="15" t="s">
        <v>106</v>
      </c>
      <c r="B58" s="33" t="str">
        <f>'Enrollment Input'!B40</f>
        <v xml:space="preserve">Kindergarten </v>
      </c>
      <c r="C58" s="33"/>
      <c r="D58" s="33"/>
      <c r="E58" s="33"/>
      <c r="F58" s="33"/>
      <c r="G58" s="33"/>
      <c r="H58" s="5"/>
      <c r="I58" s="5"/>
      <c r="J58" s="108" t="str">
        <f>IF('Enrollment Input'!E40=0," ",'Enrollment Input'!E40)</f>
        <v xml:space="preserve"> </v>
      </c>
      <c r="K58" s="108"/>
      <c r="L58" s="17" t="s">
        <v>53</v>
      </c>
      <c r="M58" s="13">
        <f>IF('Enrollment Input'!E40=0,0,LOOKUP(J58,criteria!$A$3:$A$10,criteria!$B$3:$B$10))</f>
        <v>0</v>
      </c>
      <c r="N58" s="15" t="s">
        <v>15</v>
      </c>
      <c r="O58" s="13">
        <f>IF(Q58=0,0,IF(LOOKUP(J58,criteria!$A$3:$A$10,criteria!$C$3:$C$10)=0,0,IF(Q58&lt;LOOKUP(J58,criteria!$A$3:$A$10,criteria!$C$3:$C$10),LOOKUP(J58,criteria!$A$3:$A$10,criteria!$C$3:$C$10),Q58)))</f>
        <v>0</v>
      </c>
      <c r="P58" s="10" t="str">
        <f>IF('Enrollment Input'!E40=0," ",IF(O58=0,"ADD to 1-3",IF(O58=Q58," ","Minimum")))</f>
        <v xml:space="preserve"> </v>
      </c>
      <c r="Q58" s="40">
        <f>ROUND(IF('Enrollment Input'!E40=0,0,IF(M58=0,0,(J58/M58))),2)</f>
        <v>0</v>
      </c>
    </row>
    <row r="59" spans="1:17" ht="5.25" customHeight="1" x14ac:dyDescent="0.2">
      <c r="A59" s="15"/>
      <c r="B59" s="34"/>
      <c r="C59" s="34"/>
      <c r="D59" s="34"/>
      <c r="E59" s="34"/>
      <c r="F59" s="34"/>
      <c r="G59" s="34"/>
      <c r="H59" s="5"/>
      <c r="J59" s="26"/>
      <c r="K59" s="26"/>
      <c r="Q59" s="40"/>
    </row>
    <row r="60" spans="1:17" ht="12.75" customHeight="1" x14ac:dyDescent="0.25">
      <c r="A60" s="15"/>
      <c r="B60" s="33" t="str">
        <f>'Enrollment Input'!B41</f>
        <v>Grades 1-3</v>
      </c>
      <c r="C60" s="33"/>
      <c r="D60" s="33"/>
      <c r="E60" s="33"/>
      <c r="F60" s="33"/>
      <c r="G60" s="33"/>
      <c r="H60" s="5"/>
      <c r="J60" s="108" t="str">
        <f>IF('Enrollment Input'!$E$41=0," ",IF($P$58="ADD to 1-3",SUM('Enrollment Input'!$E$41+'Enrollment Input'!$E$40),'Enrollment Input'!$E$41))</f>
        <v xml:space="preserve"> </v>
      </c>
      <c r="K60" s="108"/>
      <c r="L60" s="17" t="s">
        <v>53</v>
      </c>
      <c r="M60" s="13">
        <f>IF('Enrollment Input'!E41=0,0,IF(SUM($J$60+$J$61)&gt;299.99,20,0))</f>
        <v>0</v>
      </c>
      <c r="N60" s="15" t="s">
        <v>15</v>
      </c>
      <c r="O60" s="13">
        <f>IF(Q60=0,0,IF(Q60&lt;LOOKUP(J60,criteria!$M$3:$M$10,criteria!$O$3:$O$10),LOOKUP(J60,criteria!$M$3:$M$10,criteria!$O$3:$O$10),Q60))</f>
        <v>0</v>
      </c>
      <c r="P60" s="10" t="str">
        <f>IF('Enrollment Input'!E41=0," ",IF(O60=0,"ADD to 1-6",IF(O60=Q60," ","Minimum")))</f>
        <v xml:space="preserve"> </v>
      </c>
      <c r="Q60" s="40">
        <f>ROUND(IF('Enrollment Input'!E41=0,0,IF(M60=0,0,(J60/M60))),2)</f>
        <v>0</v>
      </c>
    </row>
    <row r="61" spans="1:17" ht="16.5" customHeight="1" x14ac:dyDescent="0.25">
      <c r="B61" s="33" t="str">
        <f>'Enrollment Input'!B42</f>
        <v>Grades 4-6</v>
      </c>
      <c r="C61" s="33"/>
      <c r="D61" s="33"/>
      <c r="E61" s="33"/>
      <c r="F61" s="33"/>
      <c r="G61" s="33"/>
      <c r="H61" s="5"/>
      <c r="I61" s="5"/>
      <c r="J61" s="108" t="str">
        <f>IF('Enrollment Input'!$E$42=0," ",'Enrollment Input'!$E$42)</f>
        <v xml:space="preserve"> </v>
      </c>
      <c r="K61" s="108"/>
      <c r="L61" s="17" t="s">
        <v>53</v>
      </c>
      <c r="M61" s="13">
        <f>IF('Enrollment Input'!E42=0,0,IF(SUM($J$60+$J$61)&gt;299.99,23,0))</f>
        <v>0</v>
      </c>
      <c r="N61" s="15" t="s">
        <v>15</v>
      </c>
      <c r="O61" s="13">
        <f>IF(Q61=0,0,IF(Q61&lt;LOOKUP(J61,criteria!$M$3:$M$10,criteria!$O$3:$O$10),LOOKUP(J61,criteria!$M$3:$M$10,criteria!$O$3:$O$10),Q61))</f>
        <v>0</v>
      </c>
      <c r="P61" t="str">
        <f>IF(O61=0," ",IF(O61=Q61," ","Minimum"))</f>
        <v xml:space="preserve"> </v>
      </c>
      <c r="Q61" s="40">
        <f>ROUND(IF('Enrollment Input'!E42=0,0,(J61/M61)),2)</f>
        <v>0</v>
      </c>
    </row>
    <row r="62" spans="1:17" ht="6.75" customHeight="1" x14ac:dyDescent="0.2">
      <c r="B62" s="34"/>
      <c r="C62" s="34"/>
      <c r="D62" s="34"/>
      <c r="E62" s="34"/>
      <c r="F62" s="34"/>
      <c r="G62" s="34"/>
      <c r="H62" s="5"/>
      <c r="J62" s="26"/>
      <c r="K62" s="26"/>
      <c r="Q62" s="40"/>
    </row>
    <row r="63" spans="1:17" ht="12.75" customHeight="1" x14ac:dyDescent="0.25">
      <c r="B63" s="33" t="str">
        <f>'Enrollment Input'!B43</f>
        <v xml:space="preserve">Secondary </v>
      </c>
      <c r="C63" s="33"/>
      <c r="D63" s="33"/>
      <c r="E63" s="33"/>
      <c r="F63" s="33"/>
      <c r="G63" s="33"/>
      <c r="H63" s="5"/>
      <c r="I63" s="5"/>
      <c r="J63" s="108" t="str">
        <f>IF('Enrollment Input'!E43=0," ",'Enrollment Input'!E43)</f>
        <v xml:space="preserve"> </v>
      </c>
      <c r="K63" s="108"/>
      <c r="L63" s="17" t="s">
        <v>53</v>
      </c>
      <c r="M63" s="13">
        <f>IF(J63=" ",0,IF(J63&gt;99.99,LOOKUP(J63,criteria!Q3:Q10,criteria!R3:R10),LOOKUP('Enrollment Input'!F44,criteria!Y3:Y5,criteria!Z3:Z5)))</f>
        <v>0</v>
      </c>
      <c r="N63" s="15" t="s">
        <v>15</v>
      </c>
      <c r="O63" s="13">
        <f>ROUND(IF(J63=" ",0,IF(J63&lt;99.99,IF(M63=0,8,(J63/M63)),IF(Q63&lt;LOOKUP(J63,criteria!$Q$3:$Q$10,criteria!$S$3:$S$10),LOOKUP(J63,criteria!$Q$3:$Q$10,criteria!$S$3:$S$10),Q63))),2)</f>
        <v>0</v>
      </c>
      <c r="P63" t="str">
        <f>IF(O63=0," ",IF(O63=Q63," ","Minimum"))</f>
        <v xml:space="preserve"> </v>
      </c>
      <c r="Q63" s="40">
        <f>ROUND(IF(M63=0,0,(J63/M63)),2)</f>
        <v>0</v>
      </c>
    </row>
    <row r="64" spans="1:17" x14ac:dyDescent="0.2">
      <c r="B64" s="5"/>
      <c r="C64" s="5"/>
      <c r="D64" s="5"/>
      <c r="E64" s="5"/>
      <c r="F64" s="5"/>
      <c r="G64" s="5"/>
      <c r="H64" s="5"/>
      <c r="I64" s="5"/>
      <c r="J64" s="29"/>
      <c r="K64" s="29"/>
      <c r="M64" s="16"/>
      <c r="N64" s="15"/>
      <c r="O64" s="16"/>
      <c r="Q64" s="40"/>
    </row>
    <row r="65" spans="1:17" ht="19.5" customHeight="1" x14ac:dyDescent="0.25">
      <c r="A65" s="4" t="s">
        <v>116</v>
      </c>
      <c r="Q65" s="40"/>
    </row>
    <row r="66" spans="1:17" ht="15.75" x14ac:dyDescent="0.25">
      <c r="B66" s="113" t="str">
        <f>IF('Enrollment Input'!E45=0," ","Alternative Secondary High School")</f>
        <v xml:space="preserve"> </v>
      </c>
      <c r="C66" s="113"/>
      <c r="D66" s="113"/>
      <c r="E66" s="113"/>
      <c r="F66" s="113"/>
      <c r="G66" s="113"/>
      <c r="H66" s="113"/>
      <c r="I66" s="5"/>
      <c r="J66" s="108">
        <f>'Enrollment Input'!E45</f>
        <v>0</v>
      </c>
      <c r="K66" s="108"/>
      <c r="L66" s="17" t="s">
        <v>53</v>
      </c>
      <c r="M66" s="13">
        <f>IF(J66=0,0,IF(Q66&lt;1,M18,12))</f>
        <v>0</v>
      </c>
      <c r="N66" s="15" t="s">
        <v>15</v>
      </c>
      <c r="O66" s="13">
        <f>ROUND(IF(J66=0,0,J66/M66),2)</f>
        <v>0</v>
      </c>
      <c r="P66" s="7"/>
      <c r="Q66" s="40">
        <f>ROUND(IF(J66=0,0,J66/12),2)</f>
        <v>0</v>
      </c>
    </row>
    <row r="67" spans="1:17" ht="11.25" customHeight="1" x14ac:dyDescent="0.2">
      <c r="J67" s="26"/>
      <c r="K67" s="26"/>
      <c r="Q67" s="40"/>
    </row>
    <row r="68" spans="1:17" ht="11.25" customHeight="1" x14ac:dyDescent="0.25">
      <c r="B68" s="113" t="str">
        <f>IF('Enrollment Input'!E47=0," ","Summer Alternative Secondary High School")</f>
        <v xml:space="preserve"> </v>
      </c>
      <c r="C68" s="113"/>
      <c r="D68" s="113"/>
      <c r="E68" s="113"/>
      <c r="F68" s="113"/>
      <c r="G68" s="113"/>
      <c r="J68" s="108">
        <f>'Enrollment Input'!E47</f>
        <v>0</v>
      </c>
      <c r="K68" s="108"/>
      <c r="L68" s="17" t="s">
        <v>53</v>
      </c>
      <c r="M68" s="13">
        <f>IF(J68=0,0,40)</f>
        <v>0</v>
      </c>
      <c r="N68" s="15" t="s">
        <v>15</v>
      </c>
      <c r="O68" s="13">
        <f>ROUND(IF(J68=0,0,J68/M68),2)</f>
        <v>0</v>
      </c>
      <c r="P68" s="7"/>
      <c r="Q68" s="40">
        <f>ROUND(IF(J68=0,0,J68/12),2)</f>
        <v>0</v>
      </c>
    </row>
    <row r="69" spans="1:17" ht="13.5" customHeight="1" x14ac:dyDescent="0.25">
      <c r="J69" s="16"/>
      <c r="K69" s="16"/>
      <c r="L69" s="17"/>
      <c r="M69" s="16"/>
      <c r="N69" s="15"/>
      <c r="O69" s="16"/>
      <c r="P69" s="1"/>
      <c r="Q69" s="40"/>
    </row>
    <row r="70" spans="1:17" ht="18.75" customHeight="1" thickBot="1" x14ac:dyDescent="0.25">
      <c r="A70" s="7"/>
      <c r="B70" s="12" t="s">
        <v>113</v>
      </c>
      <c r="C70" s="1"/>
      <c r="D70" s="1"/>
      <c r="E70" s="1"/>
      <c r="F70" s="1"/>
      <c r="G70" s="1"/>
      <c r="H70" s="1"/>
      <c r="I70" s="1"/>
      <c r="J70" s="1"/>
      <c r="K70" s="1"/>
      <c r="M70" s="18" t="s">
        <v>15</v>
      </c>
      <c r="N70" s="107">
        <f>ROUND(IF(SUM(O6:O68)=0,0,SUM(O6:O68)),2)</f>
        <v>0</v>
      </c>
      <c r="O70" s="107"/>
      <c r="Q70" s="40"/>
    </row>
    <row r="71" spans="1:17" ht="13.5" thickTop="1" x14ac:dyDescent="0.2">
      <c r="M71" s="118" t="str">
        <f>IF(N70=0," ",IF(M18&lt;14.5,IF(N70&lt;'Midterm With'!N70,"Do Not Use","You May Use this Calculation"),"Do Not Use"))</f>
        <v xml:space="preserve"> </v>
      </c>
      <c r="N71" s="118"/>
      <c r="O71" s="118"/>
      <c r="P71" s="118"/>
    </row>
    <row r="72" spans="1:17" x14ac:dyDescent="0.2">
      <c r="C72" s="10" t="s">
        <v>115</v>
      </c>
      <c r="N72" s="115"/>
      <c r="O72" s="116"/>
    </row>
    <row r="73" spans="1:17" x14ac:dyDescent="0.2">
      <c r="N73" s="18"/>
      <c r="O73" s="18"/>
    </row>
    <row r="74" spans="1:17" ht="15.75" thickBot="1" x14ac:dyDescent="0.25">
      <c r="B74" s="1" t="s">
        <v>114</v>
      </c>
      <c r="N74" s="114">
        <f>N70-(N70*N72)</f>
        <v>0</v>
      </c>
      <c r="O74" s="114"/>
    </row>
    <row r="75" spans="1:17" ht="13.5" thickTop="1" x14ac:dyDescent="0.2"/>
  </sheetData>
  <sheetProtection algorithmName="SHA-512" hashValue="8WEfkoHq1YDHQhcGxCfnliM5TQ+TWbnpu+NmGaMP7GuvtXGYgYYyFyx7jj33ASyNrBYG1JgDQ6ccSUjOK/krww==" saltValue="4VSkSTSX1nxUHDkbh/N26Q==" spinCount="100000" sheet="1" objects="1" scenarios="1"/>
  <mergeCells count="38">
    <mergeCell ref="J54:K54"/>
    <mergeCell ref="N72:O72"/>
    <mergeCell ref="N74:O74"/>
    <mergeCell ref="J56:K56"/>
    <mergeCell ref="B68:G68"/>
    <mergeCell ref="J68:K68"/>
    <mergeCell ref="A1:O1"/>
    <mergeCell ref="A2:O2"/>
    <mergeCell ref="J30:K30"/>
    <mergeCell ref="N70:O70"/>
    <mergeCell ref="J22:K22"/>
    <mergeCell ref="J24:K24"/>
    <mergeCell ref="J26:K26"/>
    <mergeCell ref="J28:K28"/>
    <mergeCell ref="J12:K12"/>
    <mergeCell ref="J16:K16"/>
    <mergeCell ref="J4:K4"/>
    <mergeCell ref="J10:K10"/>
    <mergeCell ref="J6:K6"/>
    <mergeCell ref="J38:K38"/>
    <mergeCell ref="J40:K40"/>
    <mergeCell ref="J18:K18"/>
    <mergeCell ref="J34:K34"/>
    <mergeCell ref="J36:K36"/>
    <mergeCell ref="A3:O3"/>
    <mergeCell ref="J60:K60"/>
    <mergeCell ref="M71:P71"/>
    <mergeCell ref="J42:K42"/>
    <mergeCell ref="J58:K58"/>
    <mergeCell ref="J44:K44"/>
    <mergeCell ref="J63:K63"/>
    <mergeCell ref="B66:H66"/>
    <mergeCell ref="J61:K61"/>
    <mergeCell ref="J66:K66"/>
    <mergeCell ref="J46:K46"/>
    <mergeCell ref="J48:K48"/>
    <mergeCell ref="J50:K50"/>
    <mergeCell ref="J52:K52"/>
  </mergeCells>
  <phoneticPr fontId="0" type="noConversion"/>
  <conditionalFormatting sqref="M71:P71">
    <cfRule type="cellIs" dxfId="6" priority="1" stopIfTrue="1" operator="equal">
      <formula>"Do Not Use"</formula>
    </cfRule>
    <cfRule type="cellIs" dxfId="5" priority="2" stopIfTrue="1" operator="equal">
      <formula>"You May Use this Calculation"</formula>
    </cfRule>
  </conditionalFormatting>
  <conditionalFormatting sqref="M16 M36 M42 M48 M54">
    <cfRule type="cellIs" dxfId="4" priority="3" stopIfTrue="1" operator="equal">
      <formula>16.5</formula>
    </cfRule>
  </conditionalFormatting>
  <pageMargins left="0.75" right="0.75" top="1" bottom="1" header="0.5" footer="0.5"/>
  <pageSetup scale="76" orientation="portrait" r:id="rId1"/>
  <headerFooter alignWithMargins="0">
    <oddFooter>&amp;L&amp;F</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5"/>
  <sheetViews>
    <sheetView showGridLines="0" zoomScale="90" zoomScaleNormal="90" workbookViewId="0">
      <selection sqref="A1:O1"/>
    </sheetView>
  </sheetViews>
  <sheetFormatPr defaultRowHeight="12.75" x14ac:dyDescent="0.2"/>
  <cols>
    <col min="1" max="1" width="4.140625" style="3" customWidth="1"/>
    <col min="2" max="2" width="2.5703125" customWidth="1"/>
    <col min="5" max="5" width="7.140625" customWidth="1"/>
    <col min="6" max="6" width="8.28515625" customWidth="1"/>
    <col min="7" max="8" width="10.140625" customWidth="1"/>
    <col min="9" max="9" width="3.8554687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8.85546875" customWidth="1"/>
  </cols>
  <sheetData>
    <row r="1" spans="1:18" ht="15.75" x14ac:dyDescent="0.2">
      <c r="A1" s="110" t="s">
        <v>85</v>
      </c>
      <c r="B1" s="110"/>
      <c r="C1" s="110"/>
      <c r="D1" s="110"/>
      <c r="E1" s="110"/>
      <c r="F1" s="110"/>
      <c r="G1" s="110"/>
      <c r="H1" s="110"/>
      <c r="I1" s="110"/>
      <c r="J1" s="110"/>
      <c r="K1" s="110"/>
      <c r="L1" s="110"/>
      <c r="M1" s="110"/>
      <c r="N1" s="110"/>
      <c r="O1" s="110"/>
      <c r="P1" s="32"/>
      <c r="Q1" s="32"/>
      <c r="R1" s="32"/>
    </row>
    <row r="2" spans="1:18" ht="15.75" x14ac:dyDescent="0.2">
      <c r="A2" s="110" t="s">
        <v>79</v>
      </c>
      <c r="B2" s="110"/>
      <c r="C2" s="110"/>
      <c r="D2" s="110"/>
      <c r="E2" s="110"/>
      <c r="F2" s="110"/>
      <c r="G2" s="110"/>
      <c r="H2" s="110"/>
      <c r="I2" s="110"/>
      <c r="J2" s="110"/>
      <c r="K2" s="110"/>
      <c r="L2" s="110"/>
      <c r="M2" s="110"/>
      <c r="N2" s="110"/>
      <c r="O2" s="110"/>
    </row>
    <row r="3" spans="1:18" ht="9" customHeight="1" x14ac:dyDescent="0.2">
      <c r="A3" s="32"/>
      <c r="B3" s="32"/>
      <c r="C3" s="32"/>
      <c r="D3" s="32"/>
      <c r="E3" s="32"/>
      <c r="F3" s="32"/>
      <c r="G3" s="32"/>
      <c r="H3" s="32"/>
      <c r="I3" s="32"/>
      <c r="J3" s="32"/>
      <c r="K3" s="32"/>
      <c r="L3" s="32"/>
      <c r="M3" s="32"/>
      <c r="N3" s="32"/>
      <c r="O3" s="32"/>
    </row>
    <row r="4" spans="1:18" ht="7.5" customHeight="1" x14ac:dyDescent="0.2"/>
    <row r="5" spans="1:18" ht="39" customHeight="1" x14ac:dyDescent="0.2">
      <c r="A5" s="14" t="s">
        <v>39</v>
      </c>
      <c r="F5" s="36" t="s">
        <v>86</v>
      </c>
      <c r="H5" s="37" t="s">
        <v>90</v>
      </c>
      <c r="I5" s="16"/>
      <c r="J5" s="111" t="s">
        <v>91</v>
      </c>
      <c r="K5" s="112"/>
      <c r="M5" s="19" t="s">
        <v>87</v>
      </c>
      <c r="O5" s="35" t="s">
        <v>88</v>
      </c>
    </row>
    <row r="6" spans="1:18" ht="6.75" customHeight="1" x14ac:dyDescent="0.2"/>
    <row r="7" spans="1:18" ht="15.75" x14ac:dyDescent="0.25">
      <c r="B7" s="11" t="s">
        <v>40</v>
      </c>
      <c r="F7" s="30" t="str">
        <f>IF('Enrollment Input'!$G$14=0," ",'Enrollment Input'!$G$14)</f>
        <v xml:space="preserve"> </v>
      </c>
      <c r="G7" s="29"/>
      <c r="J7" s="108" t="str">
        <f>IF('Enrollment Input'!G14=0,"0",'Enrollment Input'!G14)</f>
        <v>0</v>
      </c>
      <c r="K7" s="108"/>
      <c r="L7" s="17" t="s">
        <v>53</v>
      </c>
      <c r="M7" s="13">
        <f>IF('Enrollment Input'!G14=0,0,LOOKUP(J7,criteria!$A$3:$A$10,criteria!$B$3:$B$10))</f>
        <v>0</v>
      </c>
      <c r="N7" s="15" t="s">
        <v>15</v>
      </c>
      <c r="O7" s="13">
        <f>IF(Q7=0,0,IF(Q7&lt;LOOKUP(J7,criteria!$A$3:$A$10,criteria!$C$3:$C$10),LOOKUP(J7,criteria!$A$3:$A$10,criteria!$C$3:$C$10),IF(LOOKUP(J7,criteria!$A$3:$A$10,criteria!$C$3:$C$10)=0,0,Q7)))</f>
        <v>0</v>
      </c>
      <c r="P7" s="10" t="str">
        <f>IF('Enrollment Input'!G14=0," ",IF(O7=0,"ADD to 1-6",IF(O7=Q7," ","Minimum")))</f>
        <v xml:space="preserve"> </v>
      </c>
      <c r="Q7" s="40">
        <f>ROUND(IF('Enrollment Input'!G14=0,0,IF(M7=0,0,(J7/M7))),2)</f>
        <v>0</v>
      </c>
    </row>
    <row r="8" spans="1:18" ht="6.75" customHeight="1" x14ac:dyDescent="0.2">
      <c r="J8" s="26"/>
      <c r="K8" s="26"/>
      <c r="Q8" s="40"/>
    </row>
    <row r="9" spans="1:18" x14ac:dyDescent="0.2">
      <c r="B9" s="11" t="s">
        <v>41</v>
      </c>
      <c r="J9" s="26"/>
      <c r="K9" s="26"/>
      <c r="Q9" s="40"/>
    </row>
    <row r="10" spans="1:18" x14ac:dyDescent="0.2">
      <c r="B10" s="10" t="s">
        <v>89</v>
      </c>
      <c r="J10" s="26"/>
      <c r="K10" s="26"/>
      <c r="Q10" s="40"/>
    </row>
    <row r="11" spans="1:18" ht="16.5" customHeight="1" x14ac:dyDescent="0.25">
      <c r="C11" s="12" t="s">
        <v>42</v>
      </c>
      <c r="F11" s="13" t="str">
        <f>IF(J11=0," ",IF($J$16&gt;300," ",'Enrollment Input'!G17))</f>
        <v xml:space="preserve"> </v>
      </c>
      <c r="G11" s="24" t="s">
        <v>95</v>
      </c>
      <c r="H11" s="30" t="str">
        <f>IF(J11=0," ",'Exceptional Child Calc'!H25)</f>
        <v xml:space="preserve"> </v>
      </c>
      <c r="I11" s="15" t="s">
        <v>15</v>
      </c>
      <c r="J11" s="108">
        <f>IF('Enrollment Input'!G17=0,0,IF(SUM('Enrollment Input'!G17-'Exceptional Child Calc'!H25)+SUM('Enrollment Input'!G18-'Exceptional Child Calc'!H26)&gt;299.99,SUM('Enrollment Input'!G17-'Exceptional Child Calc'!H25),0))</f>
        <v>0</v>
      </c>
      <c r="K11" s="108"/>
      <c r="L11" s="17" t="s">
        <v>53</v>
      </c>
      <c r="M11" s="13">
        <f>IF(SUM('Enrollment Input'!$G$17-'Exceptional Child Calc'!$H$25)+SUM('Enrollment Input'!$G$18-'Exceptional Child Calc'!$H$26)&gt;299.99,20,0)</f>
        <v>0</v>
      </c>
      <c r="N11" s="15" t="s">
        <v>15</v>
      </c>
      <c r="O11" s="13">
        <f>ROUND(IF(SUM('Enrollment Input'!$G$17-'Exceptional Child Calc'!$H$25)+SUM('Enrollment Input'!$G$18-'Exceptional Child Calc'!$H$26)&lt;299.99,0,IF(Q11+Q13&lt;15,0,(J11/M11))),2)</f>
        <v>0</v>
      </c>
      <c r="P11" t="str">
        <f>IF(O11=0," ",IF(O11=Q11," ","Minimum"))</f>
        <v xml:space="preserve"> </v>
      </c>
      <c r="Q11" s="40">
        <f>ROUND(IF(SUM('Enrollment Input'!$G$17-'Exceptional Child Calc'!$H$25)+SUM('Enrollment Input'!$G$18-'Exceptional Child Calc'!$H$26)&lt;299.99,0,(J11/M11)),2)</f>
        <v>0</v>
      </c>
    </row>
    <row r="12" spans="1:18" ht="9" customHeight="1" x14ac:dyDescent="0.2">
      <c r="B12" s="12"/>
      <c r="J12" s="26"/>
      <c r="K12" s="26"/>
      <c r="Q12" s="40"/>
    </row>
    <row r="13" spans="1:18" ht="15.75" x14ac:dyDescent="0.25">
      <c r="C13" s="12" t="s">
        <v>43</v>
      </c>
      <c r="F13" s="13" t="str">
        <f>IF(J13=0," ",IF($J$16&gt;300," ",'Enrollment Input'!G18))</f>
        <v xml:space="preserve"> </v>
      </c>
      <c r="G13" s="24" t="s">
        <v>95</v>
      </c>
      <c r="H13" s="30" t="str">
        <f>IF(J13=0," ",'Exceptional Child Calc'!H26)</f>
        <v xml:space="preserve"> </v>
      </c>
      <c r="I13" s="15" t="s">
        <v>15</v>
      </c>
      <c r="J13" s="108">
        <f>IF('Enrollment Input'!G18=0,0,IF(SUM('Enrollment Input'!G17-'Exceptional Child Calc'!H25)+SUM('Enrollment Input'!G18-'Exceptional Child Calc'!H26)&gt;299.99,SUM('Enrollment Input'!G18-'Exceptional Child Calc'!H26),0))</f>
        <v>0</v>
      </c>
      <c r="K13" s="108"/>
      <c r="L13" s="17" t="s">
        <v>53</v>
      </c>
      <c r="M13" s="13">
        <f>IF(SUM('Enrollment Input'!$G$17-'Exceptional Child Calc'!$H$25)+SUM('Enrollment Input'!$G$18-'Exceptional Child Calc'!$H$26)&gt;299.99,23,0)</f>
        <v>0</v>
      </c>
      <c r="N13" s="15" t="s">
        <v>15</v>
      </c>
      <c r="O13" s="13">
        <f>ROUND(IF(SUM('Enrollment Input'!$G$17-'Exceptional Child Calc'!$H$25)+SUM('Enrollment Input'!$G$18-'Exceptional Child Calc'!$H$26)&lt;299.99,0,IF(Q11+Q13&lt;15,0,($J$13/$M$13))),2)</f>
        <v>0</v>
      </c>
      <c r="P13" t="str">
        <f>IF(O13=0," ",IF(O13=Q13," ","Minimum"))</f>
        <v xml:space="preserve"> </v>
      </c>
      <c r="Q13" s="40">
        <f>ROUND(IF(SUM('Enrollment Input'!$G$17-'Exceptional Child Calc'!$H$25)+SUM('Enrollment Input'!$G$18-'Exceptional Child Calc'!$H$26)&lt;299.99,0,($J$13/$M$13)),2)</f>
        <v>0</v>
      </c>
    </row>
    <row r="14" spans="1:18" ht="15" x14ac:dyDescent="0.2">
      <c r="B14" s="11" t="s">
        <v>41</v>
      </c>
      <c r="F14" s="16"/>
      <c r="G14" s="24"/>
      <c r="H14" s="29"/>
      <c r="I14" s="15"/>
      <c r="O14" s="18" t="str">
        <f>IF(P14="Minimum",15," ")</f>
        <v xml:space="preserve"> </v>
      </c>
      <c r="P14" t="str">
        <f>IF(Q11+Q13=0," ",IF(Q11+Q13&lt;15,"Minimum"," "))</f>
        <v xml:space="preserve"> </v>
      </c>
      <c r="Q14" s="40"/>
    </row>
    <row r="15" spans="1:18" x14ac:dyDescent="0.2">
      <c r="B15" s="10" t="s">
        <v>107</v>
      </c>
      <c r="Q15" s="40"/>
    </row>
    <row r="16" spans="1:18" ht="15.75" x14ac:dyDescent="0.25">
      <c r="C16" s="12" t="s">
        <v>44</v>
      </c>
      <c r="F16" s="13" t="str">
        <f>IF(J16=0," ",IF(J16&lt;300,SUM('Enrollment Input'!G17+'Enrollment Input'!G18)," "))</f>
        <v xml:space="preserve"> </v>
      </c>
      <c r="G16" s="24" t="s">
        <v>95</v>
      </c>
      <c r="H16" s="30" t="str">
        <f>IF(J16=0," ",'Exceptional Child Calc'!H22)</f>
        <v xml:space="preserve"> </v>
      </c>
      <c r="I16" s="15" t="s">
        <v>15</v>
      </c>
      <c r="J16" s="108">
        <f>IF('Enrollment Input'!G17=0,0,IF(SUM('Enrollment Input'!G17-'Exceptional Child Calc'!H25)+SUM('Enrollment Input'!G18-'Exceptional Child Calc'!H26)&lt;300,IF(P7="ADD to 1-6",SUM('Enrollment Input'!G17-'Exceptional Child Calc'!H25)+SUM('Enrollment Input'!G18-'Exceptional Child Calc'!H26)+'Enrollment Input'!G14,SUM('Enrollment Input'!G17-'Exceptional Child Calc'!H25)+SUM('Enrollment Input'!G18-'Exceptional Child Calc'!H26)),0))</f>
        <v>0</v>
      </c>
      <c r="K16" s="108"/>
      <c r="L16" s="17" t="s">
        <v>53</v>
      </c>
      <c r="M16" s="13">
        <f>IF(SUM('Enrollment Input'!$G$17-'Exceptional Child Calc'!$H$25)+SUM('Enrollment Input'!$G$18-'Exceptional Child Calc'!$H$26)&lt;299.99,LOOKUP(J16,criteria!$M$3:$M$11,criteria!$N$3:$N$11),0)</f>
        <v>0</v>
      </c>
      <c r="N16" s="15" t="s">
        <v>15</v>
      </c>
      <c r="O16" s="13">
        <f>IF(Q16=0,0,IF(Q16&lt;LOOKUP(J16,criteria!$M$3:$M$10,criteria!$O$3:$O$10),LOOKUP(J16,criteria!$M$3:$M$10,criteria!$O$3:$O$10),Q16))</f>
        <v>0</v>
      </c>
      <c r="P16" t="str">
        <f>IF(O16=0," ",IF(O16=Q16," ","Minimum"))</f>
        <v xml:space="preserve"> </v>
      </c>
      <c r="Q16" s="40">
        <f>ROUND(IF('Enrollment Input'!G17=0,0,IF(SUM('Enrollment Input'!$G$17-'Exceptional Child Calc'!$H$25)+SUM('Enrollment Input'!$G$18-'Exceptional Child Calc'!$H$26)&gt;299.99,0,(J16/M16))),2)</f>
        <v>0</v>
      </c>
    </row>
    <row r="17" spans="1:17" ht="6" customHeight="1" x14ac:dyDescent="0.2">
      <c r="J17" s="26"/>
      <c r="K17" s="26"/>
      <c r="Q17" s="40"/>
    </row>
    <row r="18" spans="1:17" ht="15.75" x14ac:dyDescent="0.25">
      <c r="B18" s="11" t="s">
        <v>45</v>
      </c>
      <c r="F18" s="13" t="str">
        <f>IF(J18=0," ",'Enrollment Input'!G20)</f>
        <v xml:space="preserve"> </v>
      </c>
      <c r="G18" s="24" t="s">
        <v>95</v>
      </c>
      <c r="H18" s="30" t="str">
        <f>IF(J18=0," ",'Exceptional Child Calc'!$H$43)</f>
        <v xml:space="preserve"> </v>
      </c>
      <c r="I18" s="15" t="s">
        <v>15</v>
      </c>
      <c r="J18" s="108">
        <f>IF('Enrollment Input'!G20=0,0,SUM('Enrollment Input'!G20-'Exceptional Child Calc'!H43))</f>
        <v>0</v>
      </c>
      <c r="K18" s="108"/>
      <c r="L18" s="17" t="s">
        <v>53</v>
      </c>
      <c r="M18" s="13">
        <f>IF(J18=0,0,IF(J18&gt;99.99,LOOKUP(J18,criteria!Q3:Q10,criteria!R3:R10),LOOKUP('Enrollment Input'!H21,criteria!Y3:Y5,criteria!Z3:Z5)))</f>
        <v>0</v>
      </c>
      <c r="N18" s="15" t="s">
        <v>15</v>
      </c>
      <c r="O18" s="13">
        <f>ROUND(IF(J18=0,0,IF(J18&lt;99.99,IF(M18=0,8,(J18/M18)),IF(Q18&lt;LOOKUP(J18,criteria!$Q$3:$Q$10,criteria!$S$3:$S$10),LOOKUP(J18,criteria!$Q$3:$Q$10,criteria!$S$3:$S$10),Q18))),2)</f>
        <v>0</v>
      </c>
      <c r="P18" t="str">
        <f>IF(O18=0," ",IF(O18=Q18," ","Minimum"))</f>
        <v xml:space="preserve"> </v>
      </c>
      <c r="Q18" s="40">
        <f>ROUND(IF(M18=0,0,(J18/M18)),2)</f>
        <v>0</v>
      </c>
    </row>
    <row r="19" spans="1:17" x14ac:dyDescent="0.2">
      <c r="B19" s="11"/>
      <c r="J19" s="29"/>
      <c r="K19" s="29"/>
      <c r="M19" s="16"/>
      <c r="N19" s="15"/>
      <c r="O19" s="16"/>
      <c r="Q19" s="40"/>
    </row>
    <row r="20" spans="1:17" ht="15.75" x14ac:dyDescent="0.25">
      <c r="A20" s="4" t="s">
        <v>47</v>
      </c>
      <c r="J20" s="26"/>
      <c r="K20" s="26"/>
      <c r="Q20" s="40"/>
    </row>
    <row r="21" spans="1:17" ht="3.75" customHeight="1" x14ac:dyDescent="0.2">
      <c r="J21" s="26"/>
      <c r="K21" s="26"/>
      <c r="Q21" s="40"/>
    </row>
    <row r="22" spans="1:17" x14ac:dyDescent="0.2">
      <c r="B22" t="s">
        <v>48</v>
      </c>
      <c r="J22" s="108" t="str">
        <f>IF('Exceptional Child Calc'!H55=0," ",'Exceptional Child Calc'!H55)</f>
        <v xml:space="preserve"> </v>
      </c>
      <c r="K22" s="108"/>
      <c r="Q22" s="40"/>
    </row>
    <row r="23" spans="1:17" ht="6" customHeight="1" x14ac:dyDescent="0.2">
      <c r="J23" s="26"/>
      <c r="K23" s="26"/>
      <c r="Q23" s="40"/>
    </row>
    <row r="24" spans="1:17" x14ac:dyDescent="0.2">
      <c r="B24" t="s">
        <v>49</v>
      </c>
      <c r="J24" s="108" t="str">
        <f>IF('Exceptional Child Calc'!H22=0," ",'Exceptional Child Calc'!H22)</f>
        <v xml:space="preserve"> </v>
      </c>
      <c r="K24" s="108"/>
      <c r="Q24" s="40"/>
    </row>
    <row r="25" spans="1:17" ht="6" customHeight="1" x14ac:dyDescent="0.2">
      <c r="J25" s="26"/>
      <c r="K25" s="26"/>
      <c r="Q25" s="40"/>
    </row>
    <row r="26" spans="1:17" x14ac:dyDescent="0.2">
      <c r="B26" t="s">
        <v>50</v>
      </c>
      <c r="J26" s="108" t="str">
        <f>IF('Exceptional Child Calc'!H43=0," ",'Exceptional Child Calc'!H43)</f>
        <v xml:space="preserve"> </v>
      </c>
      <c r="K26" s="108"/>
      <c r="Q26" s="40"/>
    </row>
    <row r="27" spans="1:17" ht="6" customHeight="1" x14ac:dyDescent="0.2">
      <c r="J27" s="26"/>
      <c r="K27" s="26"/>
      <c r="Q27" s="40"/>
    </row>
    <row r="28" spans="1:17" x14ac:dyDescent="0.2">
      <c r="B28" t="s">
        <v>51</v>
      </c>
      <c r="J28" s="108" t="str">
        <f>IF('Enrollment Input'!G54=0," ",'Enrollment Input'!G54)</f>
        <v xml:space="preserve"> </v>
      </c>
      <c r="K28" s="108"/>
      <c r="Q28" s="40"/>
    </row>
    <row r="29" spans="1:17" ht="6" customHeight="1" x14ac:dyDescent="0.2">
      <c r="J29" s="29"/>
      <c r="K29" s="29"/>
      <c r="Q29" s="40"/>
    </row>
    <row r="30" spans="1:17" ht="13.5" customHeight="1" thickBot="1" x14ac:dyDescent="0.3">
      <c r="B30" s="1" t="s">
        <v>52</v>
      </c>
      <c r="J30" s="109">
        <f>SUM(J22:K28)</f>
        <v>0</v>
      </c>
      <c r="K30" s="109"/>
      <c r="L30" s="17" t="s">
        <v>53</v>
      </c>
      <c r="M30" s="13">
        <f>IF(SUM('Enrollment Input'!C14:C20)=0,0,IF(J30&gt;=14,LOOKUP(J30,criteria!$U$3:$U$10,criteria!$V$3:$V$10),0))</f>
        <v>0</v>
      </c>
      <c r="N30" s="15" t="s">
        <v>15</v>
      </c>
      <c r="O30" s="13">
        <f>IF(J30=0,0,IF(Q30&lt;LOOKUP(J30,criteria!$U$3:$U$10,criteria!$W$3:$W$10),LOOKUP(J30,criteria!$U$3:$U$10,criteria!$W$3:$W$10),Q30))</f>
        <v>0</v>
      </c>
      <c r="P30" t="str">
        <f>IF(O30=0," ",IF(O30=Q30," ","Minimum"))</f>
        <v xml:space="preserve"> </v>
      </c>
      <c r="Q30" s="40">
        <f>ROUND(IF(SUM('Enrollment Input'!C14:C20)=0,0,IF(M30=0,0,(J30/M30))),2)</f>
        <v>0</v>
      </c>
    </row>
    <row r="31" spans="1:17" ht="12" customHeight="1" thickTop="1" x14ac:dyDescent="0.2">
      <c r="B31" s="119"/>
      <c r="C31" s="119"/>
      <c r="D31" s="119"/>
      <c r="E31" s="119"/>
      <c r="F31" s="31"/>
      <c r="G31" s="31"/>
      <c r="H31" s="31"/>
      <c r="J31" s="12"/>
      <c r="N31" s="15"/>
      <c r="O31" s="13"/>
      <c r="P31" s="1"/>
      <c r="Q31" s="40"/>
    </row>
    <row r="32" spans="1:17" ht="15.75" x14ac:dyDescent="0.25">
      <c r="A32" s="4" t="s">
        <v>46</v>
      </c>
      <c r="Q32" s="40"/>
    </row>
    <row r="33" spans="1:17" ht="7.5" customHeight="1" x14ac:dyDescent="0.2">
      <c r="Q33" s="40"/>
    </row>
    <row r="34" spans="1:17" ht="12.75" customHeight="1" x14ac:dyDescent="0.25">
      <c r="A34" s="15" t="s">
        <v>100</v>
      </c>
      <c r="B34" s="113" t="str">
        <f>'Enrollment Input'!B23</f>
        <v xml:space="preserve">Kindergarten </v>
      </c>
      <c r="C34" s="113"/>
      <c r="D34" s="113"/>
      <c r="E34" s="113"/>
      <c r="F34" s="5"/>
      <c r="G34" s="5"/>
      <c r="H34" s="5"/>
      <c r="I34" s="5"/>
      <c r="J34" s="108" t="str">
        <f>IF('Enrollment Input'!G23=0," ",'Enrollment Input'!G23)</f>
        <v xml:space="preserve"> </v>
      </c>
      <c r="K34" s="108"/>
      <c r="L34" s="17" t="s">
        <v>53</v>
      </c>
      <c r="M34" s="13">
        <f>IF('Enrollment Input'!G23=0,0,LOOKUP(J34,criteria!$A$3:$A$10,criteria!$B$3:$B$10))</f>
        <v>0</v>
      </c>
      <c r="N34" s="15" t="s">
        <v>15</v>
      </c>
      <c r="O34" s="13">
        <f>IF(Q34=0,0,IF(LOOKUP(J34,criteria!$A$3:$A$10,criteria!$C$3:$C$10)=0,0,IF(Q34&lt;LOOKUP(J34,criteria!$A$3:$A$10,criteria!$C$3:$C$10),LOOKUP(J34,criteria!$A$3:$A$10,criteria!$C$3:$C$10),Q34)))</f>
        <v>0</v>
      </c>
      <c r="P34" s="10" t="str">
        <f>IF('Enrollment Input'!G23=0," ",IF(O34=0,"ADD to 1-6",IF(O34=Q34," ","Minimum")))</f>
        <v xml:space="preserve"> </v>
      </c>
      <c r="Q34" s="40">
        <f>ROUND(IF('Enrollment Input'!G23=0,0,IF(M34=0,0,(J34/M34))),2)</f>
        <v>0</v>
      </c>
    </row>
    <row r="35" spans="1:17" ht="6" customHeight="1" x14ac:dyDescent="0.2">
      <c r="A35" s="15"/>
      <c r="J35" s="27"/>
      <c r="K35" s="27"/>
      <c r="Q35" s="40"/>
    </row>
    <row r="36" spans="1:17" ht="12.75" customHeight="1" x14ac:dyDescent="0.25">
      <c r="A36" s="15"/>
      <c r="B36" s="113" t="str">
        <f>'Enrollment Input'!B24</f>
        <v>Grades 1-6</v>
      </c>
      <c r="C36" s="113"/>
      <c r="D36" s="113"/>
      <c r="E36" s="113"/>
      <c r="F36" s="5"/>
      <c r="G36" s="5"/>
      <c r="H36" s="5"/>
      <c r="I36" s="5"/>
      <c r="J36" s="108" t="str">
        <f>IF('Enrollment Input'!G24=0," ",IF(P34="ADD to 1-6",SUM('Enrollment Input'!G24+'Enrollment Input'!G23),'Enrollment Input'!G24))</f>
        <v xml:space="preserve"> </v>
      </c>
      <c r="K36" s="108"/>
      <c r="L36" s="17" t="s">
        <v>53</v>
      </c>
      <c r="M36" s="13">
        <f>IF('Enrollment Input'!G24=0,0,LOOKUP(J36,criteria!$M$3:$M$10,criteria!$N$3:$N$10))</f>
        <v>0</v>
      </c>
      <c r="N36" s="15" t="s">
        <v>15</v>
      </c>
      <c r="O36" s="13">
        <f>IF(Q36=0,0,IF(Q36&lt;LOOKUP(J36,criteria!$M$3:$M$10,criteria!$O$3:$O$10),LOOKUP(J36,criteria!$M$3:$M$10,criteria!$O$3:$O$10),Q36))</f>
        <v>0</v>
      </c>
      <c r="P36" t="str">
        <f>IF(O36=0," ",IF(O36=Q36," ","Minimum"))</f>
        <v xml:space="preserve"> </v>
      </c>
      <c r="Q36" s="40">
        <f>ROUND(IF('Enrollment Input'!G24=0,0,(J36/M36)),2)</f>
        <v>0</v>
      </c>
    </row>
    <row r="37" spans="1:17" ht="6.75" customHeight="1" x14ac:dyDescent="0.2">
      <c r="A37" s="15"/>
      <c r="J37" s="28"/>
      <c r="K37" s="28"/>
      <c r="Q37" s="40"/>
    </row>
    <row r="38" spans="1:17" ht="12.75" customHeight="1" x14ac:dyDescent="0.25">
      <c r="A38" s="15"/>
      <c r="B38" s="113" t="str">
        <f>'Enrollment Input'!B25</f>
        <v xml:space="preserve">Secondary </v>
      </c>
      <c r="C38" s="113"/>
      <c r="D38" s="113"/>
      <c r="E38" s="113"/>
      <c r="F38" s="5"/>
      <c r="G38" s="5"/>
      <c r="H38" s="5"/>
      <c r="I38" s="5"/>
      <c r="J38" s="108" t="str">
        <f>IF('Enrollment Input'!G25=0," ",'Enrollment Input'!G25)</f>
        <v xml:space="preserve"> </v>
      </c>
      <c r="K38" s="108"/>
      <c r="L38" s="17" t="s">
        <v>53</v>
      </c>
      <c r="M38" s="13">
        <f>IF(J38=" ",0,IF(J38&gt;99.99,LOOKUP(J38,criteria!Q3:Q10,criteria!R3:R10),LOOKUP('Enrollment Input'!H26,criteria!Y3:Y5,criteria!Z3:Z5)))</f>
        <v>0</v>
      </c>
      <c r="N38" s="15" t="s">
        <v>15</v>
      </c>
      <c r="O38" s="13">
        <f>ROUND(IF(J38=" ",0,IF(J38&lt;99.99,IF(M38=0,8,(J38/M38)),IF(Q38&lt;LOOKUP(J38,criteria!$Q$3:$Q$10,criteria!$S$3:$S$10),LOOKUP(J38,criteria!$Q$3:$Q$10,criteria!$S$3:$S$10),Q38))),2)</f>
        <v>0</v>
      </c>
      <c r="P38" t="str">
        <f>IF(O38=0," ",IF(O38=Q38," ","Minimum"))</f>
        <v xml:space="preserve"> </v>
      </c>
      <c r="Q38" s="40">
        <f>ROUND(IF(M38=0,0,(J38/M38)),2)</f>
        <v>0</v>
      </c>
    </row>
    <row r="39" spans="1:17" ht="6.75" customHeight="1" x14ac:dyDescent="0.2">
      <c r="A39" s="15"/>
      <c r="J39" s="26"/>
      <c r="K39" s="26"/>
      <c r="Q39" s="40"/>
    </row>
    <row r="40" spans="1:17" ht="12.75" customHeight="1" x14ac:dyDescent="0.25">
      <c r="A40" s="15" t="s">
        <v>101</v>
      </c>
      <c r="B40" s="113" t="str">
        <f>'Enrollment Input'!B27</f>
        <v xml:space="preserve">Kindergarten </v>
      </c>
      <c r="C40" s="113"/>
      <c r="D40" s="113"/>
      <c r="E40" s="113"/>
      <c r="F40" s="5"/>
      <c r="G40" s="5"/>
      <c r="H40" s="5"/>
      <c r="I40" s="5"/>
      <c r="J40" s="108" t="str">
        <f>IF('Enrollment Input'!G27=0," ",'Enrollment Input'!G27)</f>
        <v xml:space="preserve"> </v>
      </c>
      <c r="K40" s="108"/>
      <c r="L40" s="17" t="s">
        <v>53</v>
      </c>
      <c r="M40" s="13">
        <f>IF('Enrollment Input'!G27=0,0,LOOKUP(J40,criteria!$A$3:$A$10,criteria!$B$3:$B$10))</f>
        <v>0</v>
      </c>
      <c r="N40" s="15" t="s">
        <v>15</v>
      </c>
      <c r="O40" s="13">
        <f>IF(Q40=0,0,IF(LOOKUP(J40,criteria!$A$3:$A$10,criteria!$C$3:$C$10)=0,0,IF(Q40&lt;LOOKUP(J40,criteria!$A$3:$A$10,criteria!$C$3:$C$10),LOOKUP(J40,criteria!$A$3:$A$10,criteria!$C$3:$C$10),Q40)))</f>
        <v>0</v>
      </c>
      <c r="P40" s="10" t="str">
        <f>IF('Enrollment Input'!G27=0," ",IF(O40=0,"ADD to 1-6",IF(O40=Q40," ","Minimum")))</f>
        <v xml:space="preserve"> </v>
      </c>
      <c r="Q40" s="40">
        <f>ROUND(IF('Enrollment Input'!G27=0,0,IF(M40=0,0,(J40/M40))),2)</f>
        <v>0</v>
      </c>
    </row>
    <row r="41" spans="1:17" ht="6.75" customHeight="1" x14ac:dyDescent="0.2">
      <c r="A41" s="15"/>
      <c r="J41" s="26"/>
      <c r="K41" s="26"/>
      <c r="Q41" s="40"/>
    </row>
    <row r="42" spans="1:17" ht="12.75" customHeight="1" x14ac:dyDescent="0.25">
      <c r="A42" s="15"/>
      <c r="B42" s="113" t="str">
        <f>'Enrollment Input'!B28</f>
        <v>Grades 1-6</v>
      </c>
      <c r="C42" s="113"/>
      <c r="D42" s="113"/>
      <c r="E42" s="113"/>
      <c r="F42" s="5"/>
      <c r="G42" s="5"/>
      <c r="H42" s="5"/>
      <c r="I42" s="5"/>
      <c r="J42" s="108" t="str">
        <f>IF('Enrollment Input'!G28=0," ",IF(P40="ADD to 1-6",SUM('Enrollment Input'!G28+'Enrollment Input'!G27),'Enrollment Input'!G28))</f>
        <v xml:space="preserve"> </v>
      </c>
      <c r="K42" s="108"/>
      <c r="L42" s="17" t="s">
        <v>53</v>
      </c>
      <c r="M42" s="13">
        <f>IF('Enrollment Input'!G28=0,0,LOOKUP(J42,criteria!$M$3:$M$10,criteria!$N$3:$N$10))</f>
        <v>0</v>
      </c>
      <c r="N42" s="15" t="s">
        <v>15</v>
      </c>
      <c r="O42" s="13">
        <f>IF(Q42=0,0,IF(Q42&lt;LOOKUP(J42,criteria!$M$3:$M$10,criteria!$O$3:$O$10),LOOKUP(J42,criteria!$M$3:$M$10,criteria!$O$3:$O$10),Q42))</f>
        <v>0</v>
      </c>
      <c r="P42" t="str">
        <f>IF(O42=0," ",IF(O42=Q42," ","Minimum"))</f>
        <v xml:space="preserve"> </v>
      </c>
      <c r="Q42" s="40">
        <f>ROUND(IF('Enrollment Input'!G28=0,0,(J42/M42)),2)</f>
        <v>0</v>
      </c>
    </row>
    <row r="43" spans="1:17" ht="6.75" customHeight="1" x14ac:dyDescent="0.2">
      <c r="A43" s="15"/>
      <c r="J43" s="26"/>
      <c r="K43" s="26"/>
      <c r="Q43" s="40"/>
    </row>
    <row r="44" spans="1:17" ht="12.75" customHeight="1" x14ac:dyDescent="0.25">
      <c r="A44" s="15"/>
      <c r="B44" s="113" t="str">
        <f>'Enrollment Input'!B29</f>
        <v xml:space="preserve">Secondary </v>
      </c>
      <c r="C44" s="113"/>
      <c r="D44" s="113"/>
      <c r="E44" s="113"/>
      <c r="F44" s="5"/>
      <c r="G44" s="5"/>
      <c r="H44" s="5"/>
      <c r="I44" s="5"/>
      <c r="J44" s="108" t="str">
        <f>IF('Enrollment Input'!G29=0," ",'Enrollment Input'!G29)</f>
        <v xml:space="preserve"> </v>
      </c>
      <c r="K44" s="108"/>
      <c r="L44" s="17" t="s">
        <v>53</v>
      </c>
      <c r="M44" s="13">
        <f>IF(J44=" ",0,IF(J44&gt;99.99,LOOKUP(J44,criteria!Q3:Q10,criteria!R3:R10),LOOKUP('Enrollment Input'!H30,criteria!Y3:Y5,criteria!Z3:Z5)))</f>
        <v>0</v>
      </c>
      <c r="N44" s="15" t="s">
        <v>15</v>
      </c>
      <c r="O44" s="13">
        <f>ROUND(IF(J44=" ",0,IF(J44&lt;99.99,IF(M44=0,8,(J44/M44)),IF(Q44&lt;LOOKUP(J44,criteria!$Q$3:$Q$10,criteria!$S$3:$S$10),LOOKUP(J44,criteria!$Q$3:$Q$10,criteria!$S$3:$S$10),Q44))),2)</f>
        <v>0</v>
      </c>
      <c r="P44" t="str">
        <f>IF(O44=0," ",IF(O44=Q44," ","Minimum"))</f>
        <v xml:space="preserve"> </v>
      </c>
      <c r="Q44" s="40">
        <f>ROUND(IF(M44=0,0,(J44/M44)),2)</f>
        <v>0</v>
      </c>
    </row>
    <row r="45" spans="1:17" ht="6.75" customHeight="1" x14ac:dyDescent="0.2">
      <c r="A45" s="15"/>
      <c r="J45" s="26"/>
      <c r="K45" s="26"/>
      <c r="Q45" s="40"/>
    </row>
    <row r="46" spans="1:17" ht="12.75" customHeight="1" x14ac:dyDescent="0.25">
      <c r="A46" s="15" t="s">
        <v>102</v>
      </c>
      <c r="B46" s="113" t="str">
        <f>'Enrollment Input'!B31</f>
        <v xml:space="preserve">Kindergarten </v>
      </c>
      <c r="C46" s="113"/>
      <c r="D46" s="113"/>
      <c r="E46" s="113"/>
      <c r="F46" s="5"/>
      <c r="G46" s="5"/>
      <c r="H46" s="5"/>
      <c r="I46" s="5"/>
      <c r="J46" s="108" t="str">
        <f>IF('Enrollment Input'!G31=0," ",'Enrollment Input'!G31)</f>
        <v xml:space="preserve"> </v>
      </c>
      <c r="K46" s="108"/>
      <c r="L46" s="17" t="s">
        <v>53</v>
      </c>
      <c r="M46" s="13">
        <f>IF('Enrollment Input'!G31=0,0,LOOKUP(J46,criteria!$A$3:$A$10,criteria!$B$3:$B$10))</f>
        <v>0</v>
      </c>
      <c r="N46" s="15" t="s">
        <v>15</v>
      </c>
      <c r="O46" s="13">
        <f>IF(Q46=0,0,IF(LOOKUP(J46,criteria!$A$3:$A$10,criteria!$C$3:$C$10)=0,0,IF(Q46&lt;LOOKUP(J46,criteria!$A$3:$A$10,criteria!$C$3:$C$10),LOOKUP(J46,criteria!$A$3:$A$10,criteria!$C$3:$C$10),Q46)))</f>
        <v>0</v>
      </c>
      <c r="P46" s="10" t="str">
        <f>IF('Enrollment Input'!G31=0," ",IF(O46=0,"ADD to 1-6",IF(O46=Q46," ","Minimum")))</f>
        <v xml:space="preserve"> </v>
      </c>
      <c r="Q46" s="40">
        <f>ROUND(IF('Enrollment Input'!G33=0,0,IF(M46=0,0,(J46/M46))),2)</f>
        <v>0</v>
      </c>
    </row>
    <row r="47" spans="1:17" ht="6.75" customHeight="1" x14ac:dyDescent="0.2">
      <c r="A47" s="15"/>
      <c r="J47" s="26"/>
      <c r="K47" s="26"/>
      <c r="Q47" s="40"/>
    </row>
    <row r="48" spans="1:17" ht="12.75" customHeight="1" x14ac:dyDescent="0.25">
      <c r="A48" s="15"/>
      <c r="B48" s="113" t="str">
        <f>'Enrollment Input'!B32</f>
        <v>Grades 1-6</v>
      </c>
      <c r="C48" s="113"/>
      <c r="D48" s="113"/>
      <c r="E48" s="113"/>
      <c r="F48" s="5"/>
      <c r="G48" s="5"/>
      <c r="H48" s="5"/>
      <c r="I48" s="5"/>
      <c r="J48" s="108" t="str">
        <f>IF('Enrollment Input'!G32=0," ",IF(P46="ADD to 1-6",SUM('Enrollment Input'!G31+'Enrollment Input'!G32),'Enrollment Input'!G32))</f>
        <v xml:space="preserve"> </v>
      </c>
      <c r="K48" s="108"/>
      <c r="L48" s="17" t="s">
        <v>53</v>
      </c>
      <c r="M48" s="13">
        <f>IF('Enrollment Input'!G32=0,0,LOOKUP(J48,criteria!$M$3:$M$10,criteria!$N$3:$N$10))</f>
        <v>0</v>
      </c>
      <c r="N48" s="15" t="s">
        <v>15</v>
      </c>
      <c r="O48" s="13">
        <f>IF(Q48=0,0,IF(Q48&lt;LOOKUP(J48,criteria!$M$3:$M$10,criteria!$O$3:$O$10),LOOKUP(J48,criteria!$M$3:$M$10,criteria!$O$3:$O$10),Q48))</f>
        <v>0</v>
      </c>
      <c r="P48" t="str">
        <f>IF(O48=0," ",IF(O48=Q48," ","Minimum"))</f>
        <v xml:space="preserve"> </v>
      </c>
      <c r="Q48" s="40">
        <f>ROUND(IF('Enrollment Input'!G32=0,0,(J48/M48)),2)</f>
        <v>0</v>
      </c>
    </row>
    <row r="49" spans="1:17" ht="6.75" customHeight="1" x14ac:dyDescent="0.2">
      <c r="A49" s="15"/>
      <c r="J49" s="26"/>
      <c r="K49" s="26"/>
      <c r="Q49" s="40"/>
    </row>
    <row r="50" spans="1:17" ht="12.75" customHeight="1" x14ac:dyDescent="0.25">
      <c r="A50" s="15"/>
      <c r="B50" s="113" t="str">
        <f>'Enrollment Input'!B33</f>
        <v xml:space="preserve">Secondary </v>
      </c>
      <c r="C50" s="113"/>
      <c r="D50" s="113"/>
      <c r="E50" s="113"/>
      <c r="F50" s="5"/>
      <c r="G50" s="5"/>
      <c r="H50" s="5"/>
      <c r="I50" s="5"/>
      <c r="J50" s="108" t="str">
        <f>IF('Enrollment Input'!G33=0," ",'Enrollment Input'!G33)</f>
        <v xml:space="preserve"> </v>
      </c>
      <c r="K50" s="108"/>
      <c r="L50" s="17" t="s">
        <v>53</v>
      </c>
      <c r="M50" s="13">
        <f>IF(J50=" ",0,IF(J50&gt;99.99,LOOKUP(J50,criteria!Q3:Q10,criteria!R3:R10),LOOKUP('Enrollment Input'!H34,criteria!Y3:Y5,criteria!Z3:Z5)))</f>
        <v>0</v>
      </c>
      <c r="N50" s="15" t="s">
        <v>15</v>
      </c>
      <c r="O50" s="13">
        <f>ROUND(IF(J50=" ",0,IF(J50&lt;99.99,IF(M50=0,8,(J50/M50)),IF(Q50&lt;LOOKUP(J50,criteria!$Q$3:$Q$10,criteria!$S$3:$S$10),LOOKUP(J50,criteria!$Q$3:$Q$10,criteria!$S$3:$S$10),Q50))),2)</f>
        <v>0</v>
      </c>
      <c r="P50" t="str">
        <f>IF(O50=0," ",IF(O50=Q50," ","Minimum"))</f>
        <v xml:space="preserve"> </v>
      </c>
      <c r="Q50" s="40">
        <f>ROUND(IF(M50=0,0,(J50/M50)),2)</f>
        <v>0</v>
      </c>
    </row>
    <row r="51" spans="1:17" ht="6.75" customHeight="1" x14ac:dyDescent="0.2">
      <c r="A51" s="15"/>
      <c r="J51" s="26"/>
      <c r="K51" s="26"/>
      <c r="Q51" s="40"/>
    </row>
    <row r="52" spans="1:17" ht="12.75" customHeight="1" x14ac:dyDescent="0.25">
      <c r="A52" s="15" t="s">
        <v>103</v>
      </c>
      <c r="B52" s="113" t="str">
        <f>'Enrollment Input'!B35</f>
        <v xml:space="preserve">Kindergarten </v>
      </c>
      <c r="C52" s="113"/>
      <c r="D52" s="113"/>
      <c r="E52" s="113"/>
      <c r="F52" s="5"/>
      <c r="G52" s="5"/>
      <c r="H52" s="5"/>
      <c r="I52" s="5"/>
      <c r="J52" s="108" t="str">
        <f>IF('Enrollment Input'!G35=0," ",'Enrollment Input'!G35)</f>
        <v xml:space="preserve"> </v>
      </c>
      <c r="K52" s="108"/>
      <c r="L52" s="17" t="s">
        <v>53</v>
      </c>
      <c r="M52" s="13">
        <f>IF('Enrollment Input'!G35=0,0,LOOKUP(J52,criteria!$A$3:$A$10,criteria!$B$3:$B$10))</f>
        <v>0</v>
      </c>
      <c r="N52" s="15" t="s">
        <v>15</v>
      </c>
      <c r="O52" s="13">
        <f>IF(Q52=0,0,IF(LOOKUP(J52,criteria!$A$3:$A$10,criteria!$C$3:$C$10)=0,0,IF(Q52&lt;LOOKUP(J52,criteria!$A$3:$A$10,criteria!$C$3:$C$10),LOOKUP(J52,criteria!$A$3:$A$10,criteria!$C$3:$C$10),Q52)))</f>
        <v>0</v>
      </c>
      <c r="P52" s="10" t="str">
        <f>IF('Enrollment Input'!G35=0," ",IF(O52=0,"ADD to 1-6",IF(O52=Q52," ","Minimum")))</f>
        <v xml:space="preserve"> </v>
      </c>
      <c r="Q52" s="40">
        <f>ROUND(IF('Enrollment Input'!G35=0,0,IF(M52=0,0,(J52/M52))),2)</f>
        <v>0</v>
      </c>
    </row>
    <row r="53" spans="1:17" ht="6.75" customHeight="1" x14ac:dyDescent="0.2">
      <c r="A53" s="15"/>
      <c r="J53" s="26"/>
      <c r="K53" s="26"/>
      <c r="Q53" s="40"/>
    </row>
    <row r="54" spans="1:17" ht="12.75" customHeight="1" x14ac:dyDescent="0.25">
      <c r="A54" s="15"/>
      <c r="B54" s="113" t="str">
        <f>'Enrollment Input'!B36</f>
        <v>Grades 1-6</v>
      </c>
      <c r="C54" s="113"/>
      <c r="D54" s="113"/>
      <c r="E54" s="113"/>
      <c r="F54" s="5"/>
      <c r="G54" s="5"/>
      <c r="H54" s="5"/>
      <c r="I54" s="5"/>
      <c r="J54" s="108" t="str">
        <f>IF('Enrollment Input'!G36=0," ",IF(P52="ADD to 1-6",SUM('Enrollment Input'!G35+'Enrollment Input'!G36),'Enrollment Input'!G36))</f>
        <v xml:space="preserve"> </v>
      </c>
      <c r="K54" s="108"/>
      <c r="L54" s="17" t="s">
        <v>53</v>
      </c>
      <c r="M54" s="13">
        <f>IF('Enrollment Input'!G36=0,0,LOOKUP(J54,criteria!$M$3:$M$10,criteria!$N$3:$N$10))</f>
        <v>0</v>
      </c>
      <c r="N54" s="15" t="s">
        <v>15</v>
      </c>
      <c r="O54" s="13">
        <f>IF(Q54=0,0,IF(Q54&lt;LOOKUP(J54,criteria!$M$3:$M$10,criteria!$O$3:$O$10),LOOKUP(J54,criteria!$M$3:$M$10,criteria!$O$3:$O$10),Q54))</f>
        <v>0</v>
      </c>
      <c r="P54" t="str">
        <f>IF(O54=0," ",IF(O54=Q54," ","Minimum"))</f>
        <v xml:space="preserve"> </v>
      </c>
      <c r="Q54" s="40">
        <f>ROUND(IF('Enrollment Input'!G36=0,0,(J54/M54)),2)</f>
        <v>0</v>
      </c>
    </row>
    <row r="55" spans="1:17" ht="6.75" customHeight="1" x14ac:dyDescent="0.2">
      <c r="A55" s="15"/>
      <c r="J55" s="26"/>
      <c r="K55" s="26"/>
      <c r="Q55" s="40"/>
    </row>
    <row r="56" spans="1:17" ht="12.75" customHeight="1" x14ac:dyDescent="0.25">
      <c r="A56" s="15"/>
      <c r="B56" s="113" t="str">
        <f>'Enrollment Input'!B37</f>
        <v xml:space="preserve">Secondary </v>
      </c>
      <c r="C56" s="113"/>
      <c r="D56" s="113"/>
      <c r="E56" s="113"/>
      <c r="F56" s="5"/>
      <c r="G56" s="5"/>
      <c r="H56" s="5"/>
      <c r="I56" s="5"/>
      <c r="J56" s="108" t="str">
        <f>IF('Enrollment Input'!G37=0," ",'Enrollment Input'!G37)</f>
        <v xml:space="preserve"> </v>
      </c>
      <c r="K56" s="108"/>
      <c r="L56" s="17" t="s">
        <v>53</v>
      </c>
      <c r="M56" s="13">
        <f>IF(J56=" ",0,IF(J56&gt;99.99,LOOKUP(J56,criteria!Q3:Q10,criteria!R3:R10),LOOKUP('Enrollment Input'!H38,criteria!Y3:Y5,criteria!Z3:Z5)))</f>
        <v>0</v>
      </c>
      <c r="N56" s="15" t="s">
        <v>15</v>
      </c>
      <c r="O56" s="13">
        <f>ROUND(IF(J56=" ",0,IF(J56&lt;99.99,IF(M56=0,8,(J56/M56)),IF(Q56&lt;LOOKUP(J56,criteria!$Q$3:$Q$10,criteria!$S$3:$S$10),LOOKUP(J56,criteria!$Q$3:$Q$10,criteria!$S$3:$S$10),Q56))),2)</f>
        <v>0</v>
      </c>
      <c r="P56" t="str">
        <f>IF(O56=0," ",IF(O56=Q56," ","Minimum"))</f>
        <v xml:space="preserve"> </v>
      </c>
      <c r="Q56" s="40">
        <f>ROUND(IF(M56=0,0,(J56/M56)),2)</f>
        <v>0</v>
      </c>
    </row>
    <row r="57" spans="1:17" ht="6.75" customHeight="1" x14ac:dyDescent="0.2">
      <c r="A57" s="15"/>
      <c r="J57" s="26"/>
      <c r="K57" s="26"/>
      <c r="Q57" s="40"/>
    </row>
    <row r="58" spans="1:17" ht="12.75" customHeight="1" x14ac:dyDescent="0.25">
      <c r="A58" s="15" t="s">
        <v>106</v>
      </c>
      <c r="B58" s="113" t="str">
        <f>'Enrollment Input'!B40</f>
        <v xml:space="preserve">Kindergarten </v>
      </c>
      <c r="C58" s="113"/>
      <c r="D58" s="113"/>
      <c r="E58" s="113"/>
      <c r="F58" s="5"/>
      <c r="G58" s="5"/>
      <c r="H58" s="5"/>
      <c r="I58" s="5"/>
      <c r="J58" s="108" t="str">
        <f>IF('Enrollment Input'!G40=0," ",'Enrollment Input'!G40)</f>
        <v xml:space="preserve"> </v>
      </c>
      <c r="K58" s="108"/>
      <c r="L58" s="17" t="s">
        <v>53</v>
      </c>
      <c r="M58" s="13">
        <f>IF('Enrollment Input'!G40=0,0,LOOKUP(J58,criteria!$A$3:$A$10,criteria!$B$3:$B$10))</f>
        <v>0</v>
      </c>
      <c r="N58" s="15" t="s">
        <v>15</v>
      </c>
      <c r="O58" s="13">
        <f>IF(Q58=0,0,IF(LOOKUP(J58,criteria!$A$3:$A$10,criteria!$C$3:$C$10)=0,0,IF(Q58&lt;LOOKUP(J58,criteria!$A$3:$A$10,criteria!$C$3:$C$10),LOOKUP(J58,criteria!$A$3:$A$10,criteria!$C$3:$C$10),Q58)))</f>
        <v>0</v>
      </c>
      <c r="P58" s="10" t="str">
        <f>IF('Enrollment Input'!G40=0," ",IF(O58=0,"ADD to 1-3",IF(O58=Q58," ","Minimum")))</f>
        <v xml:space="preserve"> </v>
      </c>
      <c r="Q58" s="40">
        <f>ROUND(IF('Enrollment Input'!G40=0,0,IF(M58=0,0,(J58/M58))),2)</f>
        <v>0</v>
      </c>
    </row>
    <row r="59" spans="1:17" ht="6.75" customHeight="1" x14ac:dyDescent="0.2">
      <c r="A59" s="15"/>
      <c r="J59" s="26"/>
      <c r="K59" s="26"/>
      <c r="Q59" s="40"/>
    </row>
    <row r="60" spans="1:17" ht="13.5" customHeight="1" x14ac:dyDescent="0.25">
      <c r="A60" s="15"/>
      <c r="B60" s="113" t="str">
        <f>'Enrollment Input'!B41</f>
        <v>Grades 1-3</v>
      </c>
      <c r="C60" s="113"/>
      <c r="D60" s="113"/>
      <c r="E60" s="113"/>
      <c r="F60" s="5"/>
      <c r="G60" s="5"/>
      <c r="H60" s="5"/>
      <c r="I60" s="5"/>
      <c r="J60" s="108" t="str">
        <f>IF('Enrollment Input'!$G$41=0," ",IF($P$58="ADD to 1-3",SUM('Enrollment Input'!$G$41+'Enrollment Input'!$G$40),'Enrollment Input'!$G$41))</f>
        <v xml:space="preserve"> </v>
      </c>
      <c r="K60" s="108"/>
      <c r="L60" s="17" t="s">
        <v>53</v>
      </c>
      <c r="M60" s="13">
        <f>IF('Enrollment Input'!G41=0,0,IF(SUM($J$60+$J$61)&gt;299.99,20,0))</f>
        <v>0</v>
      </c>
      <c r="N60" s="15" t="s">
        <v>15</v>
      </c>
      <c r="O60" s="13">
        <f>IF(Q60=0,0,IF(Q60&lt;LOOKUP(J60,criteria!$M$3:$M$10,criteria!$O$3:$O$10),LOOKUP(J60,criteria!$M$3:$M$10,criteria!$O$3:$O$10),Q60))</f>
        <v>0</v>
      </c>
      <c r="P60" t="str">
        <f>IF(O60=0," ",IF(O60=Q60," ","Minimum"))</f>
        <v xml:space="preserve"> </v>
      </c>
      <c r="Q60" s="40">
        <f>ROUND(IF('Enrollment Input'!G41=0,0,(J60/M60)),2)</f>
        <v>0</v>
      </c>
    </row>
    <row r="61" spans="1:17" ht="15" customHeight="1" x14ac:dyDescent="0.25">
      <c r="B61" s="113" t="str">
        <f>'Enrollment Input'!B42</f>
        <v>Grades 4-6</v>
      </c>
      <c r="C61" s="113"/>
      <c r="D61" s="113"/>
      <c r="E61" s="113"/>
      <c r="F61" s="5"/>
      <c r="G61" s="5"/>
      <c r="H61" s="5"/>
      <c r="I61" s="5"/>
      <c r="J61" s="108" t="str">
        <f>IF('Enrollment Input'!$G$42=0," ",'Enrollment Input'!$G$42)</f>
        <v xml:space="preserve"> </v>
      </c>
      <c r="K61" s="108"/>
      <c r="L61" s="17" t="s">
        <v>53</v>
      </c>
      <c r="M61" s="13">
        <f>IF('Enrollment Input'!G42=0,0,IF(SUM($J$60+$J$61)&gt;299.99,23,0))</f>
        <v>0</v>
      </c>
      <c r="N61" s="15" t="s">
        <v>15</v>
      </c>
      <c r="O61" s="13">
        <f>IF(Q61=0,0,IF(Q61&lt;LOOKUP(J61,criteria!$M$3:$M$10,criteria!$O$3:$O$10),LOOKUP(J61,criteria!$M$3:$M$10,criteria!$O$3:$O$10),Q61))</f>
        <v>0</v>
      </c>
      <c r="P61" t="str">
        <f>IF(O61=0," ",IF(O61=Q61," ","Minimum"))</f>
        <v xml:space="preserve"> </v>
      </c>
      <c r="Q61" s="40">
        <f>ROUND(IF('Enrollment Input'!G42=0,0,(J61/M61)),2)</f>
        <v>0</v>
      </c>
    </row>
    <row r="62" spans="1:17" ht="6.75" customHeight="1" x14ac:dyDescent="0.2">
      <c r="J62" s="26"/>
      <c r="K62" s="26"/>
      <c r="Q62" s="40"/>
    </row>
    <row r="63" spans="1:17" ht="12.75" customHeight="1" x14ac:dyDescent="0.25">
      <c r="B63" s="113" t="str">
        <f>'Enrollment Input'!B43</f>
        <v xml:space="preserve">Secondary </v>
      </c>
      <c r="C63" s="113"/>
      <c r="D63" s="113"/>
      <c r="E63" s="113"/>
      <c r="F63" s="5"/>
      <c r="G63" s="5"/>
      <c r="H63" s="5"/>
      <c r="I63" s="5"/>
      <c r="J63" s="108" t="str">
        <f>IF('Enrollment Input'!G43=0," ",'Enrollment Input'!G43)</f>
        <v xml:space="preserve"> </v>
      </c>
      <c r="K63" s="108"/>
      <c r="L63" s="17" t="s">
        <v>53</v>
      </c>
      <c r="M63" s="13">
        <f>IF(J63=" ",0,IF(J63&gt;99.99,LOOKUP(J63,criteria!Q3:Q10,criteria!R3:R10),LOOKUP('Enrollment Input'!H44,criteria!Y3:Y5,criteria!Z3:Z5)))</f>
        <v>0</v>
      </c>
      <c r="N63" s="15" t="s">
        <v>15</v>
      </c>
      <c r="O63" s="13">
        <f>ROUND(IF(J63=" ",0,IF(J63&lt;99.99,IF(M63=0,8,(J63/M63)),IF(Q63&lt;LOOKUP(J63,criteria!$Q$3:$Q$10,criteria!$S$3:$S$10),LOOKUP(J63,criteria!$Q$3:$Q$10,criteria!$S$3:$S$10),Q63))),2)</f>
        <v>0</v>
      </c>
      <c r="P63" t="str">
        <f>IF(O63=0," ",IF(O63=Q63," ","Minimum"))</f>
        <v xml:space="preserve"> </v>
      </c>
      <c r="Q63" s="40">
        <f>ROUND(IF(M63=0,0,(J63/M63)),2)</f>
        <v>0</v>
      </c>
    </row>
    <row r="64" spans="1:17" ht="14.25" customHeight="1" x14ac:dyDescent="0.2">
      <c r="J64" s="12"/>
      <c r="N64" s="15"/>
      <c r="O64" s="13"/>
      <c r="P64" s="1"/>
      <c r="Q64" s="40"/>
    </row>
    <row r="65" spans="1:17" ht="19.5" customHeight="1" x14ac:dyDescent="0.25">
      <c r="A65" s="4" t="s">
        <v>116</v>
      </c>
      <c r="Q65" s="40"/>
    </row>
    <row r="66" spans="1:17" ht="15.75" x14ac:dyDescent="0.25">
      <c r="B66" s="120" t="str">
        <f>IF('Enrollment Input'!E45=0," ","Alternative Secondary High School")</f>
        <v xml:space="preserve"> </v>
      </c>
      <c r="C66" s="120"/>
      <c r="D66" s="120"/>
      <c r="E66" s="120"/>
      <c r="F66" s="121"/>
      <c r="G66" s="5"/>
      <c r="H66" s="5"/>
      <c r="I66" s="5"/>
      <c r="J66" s="108">
        <f>'Enrollment Input'!G45</f>
        <v>0</v>
      </c>
      <c r="K66" s="108"/>
      <c r="L66" s="17" t="s">
        <v>53</v>
      </c>
      <c r="M66" s="13">
        <f>IF(J66=0,0,IF(Q66&lt;1,M18,12))</f>
        <v>0</v>
      </c>
      <c r="N66" s="15" t="s">
        <v>15</v>
      </c>
      <c r="O66" s="13">
        <f>ROUND(IF(J66=0,0,J66/M66),2)</f>
        <v>0</v>
      </c>
      <c r="P66" s="7"/>
      <c r="Q66" s="40">
        <f>ROUND(IF(J66=0,0,J66/12),2)</f>
        <v>0</v>
      </c>
    </row>
    <row r="67" spans="1:17" ht="11.25" customHeight="1" x14ac:dyDescent="0.2">
      <c r="J67" s="26"/>
      <c r="K67" s="26"/>
      <c r="Q67" s="40"/>
    </row>
    <row r="68" spans="1:17" ht="11.25" customHeight="1" x14ac:dyDescent="0.25">
      <c r="B68" s="120" t="str">
        <f>IF('Enrollment Input'!E47=0," ","Summer Alternative Secondary High School")</f>
        <v xml:space="preserve"> </v>
      </c>
      <c r="C68" s="120"/>
      <c r="D68" s="120"/>
      <c r="E68" s="120"/>
      <c r="F68" s="121"/>
      <c r="G68" s="5"/>
      <c r="J68" s="108">
        <f>'Enrollment Input'!E47</f>
        <v>0</v>
      </c>
      <c r="K68" s="108"/>
      <c r="L68" s="17" t="s">
        <v>53</v>
      </c>
      <c r="M68" s="13">
        <f>IF(J68=0,0,40)</f>
        <v>0</v>
      </c>
      <c r="N68" s="15" t="s">
        <v>15</v>
      </c>
      <c r="O68" s="13">
        <f>ROUND(IF(J68=0,0,J68/M68),2)</f>
        <v>0</v>
      </c>
      <c r="P68" s="7"/>
      <c r="Q68" s="40">
        <f>ROUND(IF(J68=0,0,J68/12),2)</f>
        <v>0</v>
      </c>
    </row>
    <row r="69" spans="1:17" ht="13.5" customHeight="1" x14ac:dyDescent="0.25">
      <c r="J69" s="16"/>
      <c r="K69" s="16"/>
      <c r="L69" s="17"/>
      <c r="M69" s="16"/>
      <c r="N69" s="15"/>
      <c r="O69" s="16"/>
      <c r="P69" s="1"/>
      <c r="Q69" s="40"/>
    </row>
    <row r="70" spans="1:17" ht="18.75" customHeight="1" x14ac:dyDescent="0.2">
      <c r="A70" s="7"/>
      <c r="B70" s="12" t="s">
        <v>113</v>
      </c>
      <c r="C70" s="1"/>
      <c r="D70" s="1"/>
      <c r="E70" s="1"/>
      <c r="F70" s="1"/>
      <c r="G70" s="1"/>
      <c r="H70" s="1"/>
      <c r="I70" s="1"/>
      <c r="J70" s="1"/>
      <c r="K70" s="1"/>
      <c r="M70" s="18"/>
      <c r="N70" s="122">
        <f>ROUND(IF(SUM(O7:O68)=0,0,SUM(O7:O68)),2)</f>
        <v>0</v>
      </c>
      <c r="O70" s="122"/>
      <c r="Q70" s="40"/>
    </row>
    <row r="72" spans="1:17" x14ac:dyDescent="0.2">
      <c r="C72" s="10" t="s">
        <v>115</v>
      </c>
      <c r="N72" s="115"/>
      <c r="O72" s="116"/>
    </row>
    <row r="73" spans="1:17" x14ac:dyDescent="0.2">
      <c r="N73" s="18"/>
      <c r="O73" s="18"/>
    </row>
    <row r="74" spans="1:17" ht="15.75" thickBot="1" x14ac:dyDescent="0.25">
      <c r="B74" s="1" t="s">
        <v>114</v>
      </c>
      <c r="N74" s="114">
        <f>N70-(N70*N72)</f>
        <v>0</v>
      </c>
      <c r="O74" s="114"/>
    </row>
    <row r="75" spans="1:17" ht="13.5" thickTop="1" x14ac:dyDescent="0.2"/>
  </sheetData>
  <sheetProtection algorithmName="SHA-512" hashValue="RQRYEVPlE/nfsIKGGvARnonG5GyoJel4ysK4PxhJgivXz66QaY89Hq+Hq2akcsVCmLzCOsTD4sOMcLrT/ET1hA==" saltValue="IStDT7XcXntzDGQ5fbHX5w==" spinCount="100000" sheet="1" objects="1" scenarios="1"/>
  <mergeCells count="53">
    <mergeCell ref="N72:O72"/>
    <mergeCell ref="N74:O74"/>
    <mergeCell ref="N70:O70"/>
    <mergeCell ref="J38:K38"/>
    <mergeCell ref="J26:K26"/>
    <mergeCell ref="J28:K28"/>
    <mergeCell ref="J36:K36"/>
    <mergeCell ref="J60:K60"/>
    <mergeCell ref="J30:K30"/>
    <mergeCell ref="J54:K54"/>
    <mergeCell ref="J40:K40"/>
    <mergeCell ref="J13:K13"/>
    <mergeCell ref="J16:K16"/>
    <mergeCell ref="J5:K5"/>
    <mergeCell ref="J11:K11"/>
    <mergeCell ref="J7:K7"/>
    <mergeCell ref="J24:K24"/>
    <mergeCell ref="J22:K22"/>
    <mergeCell ref="B68:F68"/>
    <mergeCell ref="J68:K68"/>
    <mergeCell ref="B46:E46"/>
    <mergeCell ref="J46:K46"/>
    <mergeCell ref="B48:E48"/>
    <mergeCell ref="J48:K48"/>
    <mergeCell ref="B50:E50"/>
    <mergeCell ref="J66:K66"/>
    <mergeCell ref="B66:F66"/>
    <mergeCell ref="B54:E54"/>
    <mergeCell ref="B34:E34"/>
    <mergeCell ref="B36:E36"/>
    <mergeCell ref="B38:E38"/>
    <mergeCell ref="B40:E40"/>
    <mergeCell ref="B63:E63"/>
    <mergeCell ref="J63:K63"/>
    <mergeCell ref="B61:E61"/>
    <mergeCell ref="J61:K61"/>
    <mergeCell ref="B60:E60"/>
    <mergeCell ref="B58:E58"/>
    <mergeCell ref="J58:K58"/>
    <mergeCell ref="B44:E44"/>
    <mergeCell ref="A2:O2"/>
    <mergeCell ref="A1:O1"/>
    <mergeCell ref="B42:E42"/>
    <mergeCell ref="J42:K42"/>
    <mergeCell ref="J18:K18"/>
    <mergeCell ref="J34:K34"/>
    <mergeCell ref="B31:E31"/>
    <mergeCell ref="B56:E56"/>
    <mergeCell ref="J44:K44"/>
    <mergeCell ref="J50:K50"/>
    <mergeCell ref="B52:E52"/>
    <mergeCell ref="J52:K52"/>
    <mergeCell ref="J56:K56"/>
  </mergeCells>
  <phoneticPr fontId="0" type="noConversion"/>
  <conditionalFormatting sqref="M16 M36 M42 M48 M54">
    <cfRule type="cellIs" dxfId="3" priority="1" stopIfTrue="1" operator="equal">
      <formula>16.5</formula>
    </cfRule>
  </conditionalFormatting>
  <pageMargins left="0.75" right="0.75" top="1" bottom="1" header="0.5" footer="0.5"/>
  <pageSetup scale="72" orientation="portrait" r:id="rId1"/>
  <headerFooter alignWithMargins="0">
    <oddFooter>&amp;L&amp;F</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5"/>
  <sheetViews>
    <sheetView showGridLines="0" zoomScale="90" zoomScaleNormal="90" workbookViewId="0">
      <selection sqref="A1:O1"/>
    </sheetView>
  </sheetViews>
  <sheetFormatPr defaultRowHeight="12.75" x14ac:dyDescent="0.2"/>
  <cols>
    <col min="1" max="1" width="4.140625" style="3" customWidth="1"/>
    <col min="2" max="2" width="2.5703125" customWidth="1"/>
    <col min="5" max="5" width="7.140625" customWidth="1"/>
    <col min="6" max="6" width="8.28515625" customWidth="1"/>
    <col min="7" max="8" width="10.140625" customWidth="1"/>
    <col min="9" max="9" width="3.8554687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8.85546875" customWidth="1"/>
  </cols>
  <sheetData>
    <row r="1" spans="1:18" ht="15.75" x14ac:dyDescent="0.2">
      <c r="A1" s="110" t="s">
        <v>85</v>
      </c>
      <c r="B1" s="110"/>
      <c r="C1" s="110"/>
      <c r="D1" s="110"/>
      <c r="E1" s="110"/>
      <c r="F1" s="110"/>
      <c r="G1" s="110"/>
      <c r="H1" s="110"/>
      <c r="I1" s="110"/>
      <c r="J1" s="110"/>
      <c r="K1" s="110"/>
      <c r="L1" s="110"/>
      <c r="M1" s="110"/>
      <c r="N1" s="110"/>
      <c r="O1" s="110"/>
      <c r="P1" s="32"/>
      <c r="Q1" s="32"/>
      <c r="R1" s="32"/>
    </row>
    <row r="2" spans="1:18" ht="15.75" x14ac:dyDescent="0.2">
      <c r="A2" s="110" t="s">
        <v>79</v>
      </c>
      <c r="B2" s="110"/>
      <c r="C2" s="110"/>
      <c r="D2" s="110"/>
      <c r="E2" s="110"/>
      <c r="F2" s="110"/>
      <c r="G2" s="110"/>
      <c r="H2" s="110"/>
      <c r="I2" s="110"/>
      <c r="J2" s="110"/>
      <c r="K2" s="110"/>
      <c r="L2" s="110"/>
      <c r="M2" s="110"/>
      <c r="N2" s="110"/>
      <c r="O2" s="110"/>
    </row>
    <row r="3" spans="1:18" ht="15" customHeight="1" x14ac:dyDescent="0.25">
      <c r="A3" s="117" t="s">
        <v>80</v>
      </c>
      <c r="B3" s="117"/>
      <c r="C3" s="117"/>
      <c r="D3" s="117"/>
      <c r="E3" s="117"/>
      <c r="F3" s="117"/>
      <c r="G3" s="117"/>
      <c r="H3" s="117"/>
      <c r="I3" s="117"/>
      <c r="J3" s="117"/>
      <c r="K3" s="117"/>
      <c r="L3" s="117"/>
      <c r="M3" s="117"/>
      <c r="N3" s="117"/>
      <c r="O3" s="117"/>
    </row>
    <row r="4" spans="1:18" ht="7.5" customHeight="1" x14ac:dyDescent="0.2"/>
    <row r="5" spans="1:18" ht="39" customHeight="1" x14ac:dyDescent="0.2">
      <c r="A5" s="14" t="s">
        <v>39</v>
      </c>
      <c r="F5" s="36" t="s">
        <v>86</v>
      </c>
      <c r="H5" s="37" t="s">
        <v>90</v>
      </c>
      <c r="I5" s="16"/>
      <c r="J5" s="111" t="s">
        <v>91</v>
      </c>
      <c r="K5" s="112"/>
      <c r="M5" s="19" t="s">
        <v>87</v>
      </c>
      <c r="O5" s="35" t="s">
        <v>88</v>
      </c>
    </row>
    <row r="6" spans="1:18" ht="6.75" customHeight="1" x14ac:dyDescent="0.2"/>
    <row r="7" spans="1:18" ht="15.75" x14ac:dyDescent="0.25">
      <c r="B7" s="11" t="s">
        <v>40</v>
      </c>
      <c r="F7" s="30" t="str">
        <f>IF('Enrollment Input'!$G$14=0," ",'Enrollment Input'!$G$14)</f>
        <v xml:space="preserve"> </v>
      </c>
      <c r="G7" s="29"/>
      <c r="J7" s="108" t="str">
        <f>IF('Enrollment Input'!G14=0,"0",'Enrollment Input'!G14)</f>
        <v>0</v>
      </c>
      <c r="K7" s="108"/>
      <c r="L7" s="17" t="s">
        <v>53</v>
      </c>
      <c r="M7" s="13">
        <f>IF('Enrollment Input'!G14=0,0,LOOKUP(J7,criteria!$A$3:$A$10,criteria!$B$3:$B$10))</f>
        <v>0</v>
      </c>
      <c r="N7" s="15" t="s">
        <v>15</v>
      </c>
      <c r="O7" s="13">
        <f>IF(Q7=0,0,IF(Q7&lt;LOOKUP(J7,criteria!$A$3:$A$10,criteria!$C$3:$C$10),LOOKUP(J7,criteria!$A$3:$A$10,criteria!$C$3:$C$10),IF(LOOKUP(J7,criteria!$A$3:$A$10,criteria!$C$3:$C$10)=0,0,Q7)))</f>
        <v>0</v>
      </c>
      <c r="P7" s="10" t="str">
        <f>IF('Enrollment Input'!G14=0," ",IF(O7=0,"ADD to 1-6",IF(O7=Q7," ","Minimum")))</f>
        <v xml:space="preserve"> </v>
      </c>
      <c r="Q7" s="40">
        <f>ROUND(IF('Enrollment Input'!G14=0,0,IF(M7=0,0,(J7/M7))),2)</f>
        <v>0</v>
      </c>
    </row>
    <row r="8" spans="1:18" ht="6.75" customHeight="1" x14ac:dyDescent="0.2">
      <c r="J8" s="26"/>
      <c r="K8" s="26"/>
      <c r="Q8" s="40"/>
    </row>
    <row r="9" spans="1:18" x14ac:dyDescent="0.2">
      <c r="B9" s="11" t="s">
        <v>41</v>
      </c>
      <c r="J9" s="26"/>
      <c r="K9" s="26"/>
      <c r="Q9" s="40"/>
    </row>
    <row r="10" spans="1:18" x14ac:dyDescent="0.2">
      <c r="B10" s="10" t="s">
        <v>89</v>
      </c>
      <c r="J10" s="26"/>
      <c r="K10" s="26"/>
      <c r="Q10" s="40"/>
    </row>
    <row r="11" spans="1:18" ht="16.5" customHeight="1" x14ac:dyDescent="0.25">
      <c r="C11" s="12" t="s">
        <v>42</v>
      </c>
      <c r="F11" s="13" t="str">
        <f>IF(J11=0," ",IF($J$16&gt;300," ",'Enrollment Input'!G17))</f>
        <v xml:space="preserve"> </v>
      </c>
      <c r="G11" s="24" t="s">
        <v>95</v>
      </c>
      <c r="H11" s="30" t="str">
        <f>IF(J11=0," ",'Exceptional Child Calc'!H25)</f>
        <v xml:space="preserve"> </v>
      </c>
      <c r="I11" s="15" t="s">
        <v>15</v>
      </c>
      <c r="J11" s="108">
        <f>IF('Enrollment Input'!G17=0,0,IF(SUM('Enrollment Input'!G17-'Exceptional Child Calc'!H25)+SUM('Enrollment Input'!G18-'Exceptional Child Calc'!H26)&gt;299.99,SUM('Enrollment Input'!G17-'Exceptional Child Calc'!H25),0))</f>
        <v>0</v>
      </c>
      <c r="K11" s="108"/>
      <c r="L11" s="17" t="s">
        <v>53</v>
      </c>
      <c r="M11" s="13">
        <f>IF(SUM('Enrollment Input'!$G$17-'Exceptional Child Calc'!$H$25)+SUM('Enrollment Input'!$G$18-'Exceptional Child Calc'!$H$26)&gt;299.99,20,0)</f>
        <v>0</v>
      </c>
      <c r="N11" s="15" t="s">
        <v>15</v>
      </c>
      <c r="O11" s="13">
        <f>ROUND(IF(SUM('Enrollment Input'!$G$17-'Exceptional Child Calc'!$H$25)+SUM('Enrollment Input'!$G$18-'Exceptional Child Calc'!$H$26)&lt;299.99,0,IF(Q11+Q13&lt;15,0,(J11/M11))),2)</f>
        <v>0</v>
      </c>
      <c r="P11" t="str">
        <f>IF(O11=0," ",IF(O11=Q11," ","Minimum"))</f>
        <v xml:space="preserve"> </v>
      </c>
      <c r="Q11" s="40">
        <f>ROUND(IF(SUM('Enrollment Input'!$G$17-'Exceptional Child Calc'!$H$25)+SUM('Enrollment Input'!$G$18-'Exceptional Child Calc'!$H$26)&lt;299.99,0,(J11/M11)),2)</f>
        <v>0</v>
      </c>
    </row>
    <row r="12" spans="1:18" ht="9" customHeight="1" x14ac:dyDescent="0.2">
      <c r="B12" s="12"/>
      <c r="J12" s="26"/>
      <c r="K12" s="26"/>
      <c r="Q12" s="40"/>
    </row>
    <row r="13" spans="1:18" ht="15.75" x14ac:dyDescent="0.25">
      <c r="C13" s="12" t="s">
        <v>43</v>
      </c>
      <c r="F13" s="13" t="str">
        <f>IF(J13=0," ",IF($J$16&gt;300," ",'Enrollment Input'!G18))</f>
        <v xml:space="preserve"> </v>
      </c>
      <c r="G13" s="24" t="s">
        <v>95</v>
      </c>
      <c r="H13" s="30" t="str">
        <f>IF(J13=0," ",'Exceptional Child Calc'!H26)</f>
        <v xml:space="preserve"> </v>
      </c>
      <c r="I13" s="15" t="s">
        <v>15</v>
      </c>
      <c r="J13" s="108">
        <f>IF('Enrollment Input'!G18=0,0,IF(SUM('Enrollment Input'!G17-'Exceptional Child Calc'!H25)+SUM('Enrollment Input'!G18-'Exceptional Child Calc'!H26)&gt;299.99,SUM('Enrollment Input'!G18-'Exceptional Child Calc'!H26),0))</f>
        <v>0</v>
      </c>
      <c r="K13" s="108"/>
      <c r="L13" s="17" t="s">
        <v>53</v>
      </c>
      <c r="M13" s="13">
        <f>IF(SUM('Enrollment Input'!$G$17-'Exceptional Child Calc'!$H$25)+SUM('Enrollment Input'!$G$18-'Exceptional Child Calc'!$H$26)&gt;299.99,23,0)</f>
        <v>0</v>
      </c>
      <c r="N13" s="15" t="s">
        <v>15</v>
      </c>
      <c r="O13" s="13">
        <f>ROUND(IF(SUM('Enrollment Input'!$G$17-'Exceptional Child Calc'!$H$25)+SUM('Enrollment Input'!$G$18-'Exceptional Child Calc'!$H$26)&lt;299.99,0,IF(Q11+Q13&lt;15,0,($J$13/$M$13))),2)</f>
        <v>0</v>
      </c>
      <c r="P13" t="str">
        <f>IF(O13=0," ",IF(O13=Q13," ","Minimum"))</f>
        <v xml:space="preserve"> </v>
      </c>
      <c r="Q13" s="40">
        <f>ROUND(IF(SUM('Enrollment Input'!$G$17-'Exceptional Child Calc'!$H$25)+SUM('Enrollment Input'!$G$18-'Exceptional Child Calc'!$H$26)&lt;299.99,0,($J$13/$M$13)),2)</f>
        <v>0</v>
      </c>
    </row>
    <row r="14" spans="1:18" ht="15" x14ac:dyDescent="0.2">
      <c r="B14" s="11" t="s">
        <v>41</v>
      </c>
      <c r="F14" s="16"/>
      <c r="G14" s="24"/>
      <c r="H14" s="29"/>
      <c r="I14" s="15"/>
      <c r="O14" s="18" t="str">
        <f>IF(P14="Minimum",15," ")</f>
        <v xml:space="preserve"> </v>
      </c>
      <c r="P14" t="str">
        <f>IF(Q11+Q13=0," ",IF(Q11+Q13&lt;15,"Minimum"," "))</f>
        <v xml:space="preserve"> </v>
      </c>
      <c r="Q14" s="40"/>
    </row>
    <row r="15" spans="1:18" x14ac:dyDescent="0.2">
      <c r="B15" s="10" t="s">
        <v>107</v>
      </c>
      <c r="Q15" s="40"/>
    </row>
    <row r="16" spans="1:18" ht="15.75" x14ac:dyDescent="0.25">
      <c r="C16" s="12" t="s">
        <v>44</v>
      </c>
      <c r="F16" s="13" t="str">
        <f>IF(J16=0," ",IF(J16&lt;300,SUM('Enrollment Input'!G17+'Enrollment Input'!G18)," "))</f>
        <v xml:space="preserve"> </v>
      </c>
      <c r="G16" s="24" t="s">
        <v>95</v>
      </c>
      <c r="H16" s="30" t="str">
        <f>IF(J16=0," ",'Exceptional Child Calc'!H22)</f>
        <v xml:space="preserve"> </v>
      </c>
      <c r="I16" s="15" t="s">
        <v>15</v>
      </c>
      <c r="J16" s="108">
        <f>IF('Enrollment Input'!G17=0,0,IF(SUM('Enrollment Input'!G17-'Exceptional Child Calc'!H25)+SUM('Enrollment Input'!G18-'Exceptional Child Calc'!H26)&lt;300,IF(P7="ADD to 1-6",SUM('Enrollment Input'!G17-'Exceptional Child Calc'!H25)+SUM('Enrollment Input'!G18-'Exceptional Child Calc'!H26)+'Enrollment Input'!G14,SUM('Enrollment Input'!G17-'Exceptional Child Calc'!H25)+SUM('Enrollment Input'!G18-'Exceptional Child Calc'!H26)),0))</f>
        <v>0</v>
      </c>
      <c r="K16" s="108"/>
      <c r="L16" s="17" t="s">
        <v>53</v>
      </c>
      <c r="M16" s="13">
        <f>IF(SUM('Enrollment Input'!$G$17-'Exceptional Child Calc'!$H$25)+SUM('Enrollment Input'!$G$18-'Exceptional Child Calc'!$H$26)&lt;299.99,LOOKUP(J16,criteria!$M$3:$M$11,criteria!$N$3:$N$11),0)</f>
        <v>0</v>
      </c>
      <c r="N16" s="15" t="s">
        <v>15</v>
      </c>
      <c r="O16" s="13">
        <f>IF(Q16=0,0,IF(Q16&lt;LOOKUP(J16,criteria!$M$3:$M$10,criteria!$O$3:$O$10),LOOKUP(J16,criteria!$M$3:$M$10,criteria!$O$3:$O$10),Q16))</f>
        <v>0</v>
      </c>
      <c r="P16" t="str">
        <f>IF(O16=0," ",IF(O16=Q16," ","Minimum"))</f>
        <v xml:space="preserve"> </v>
      </c>
      <c r="Q16" s="40">
        <f>ROUND(IF('Enrollment Input'!G17=0,0,IF(SUM('Enrollment Input'!$G$17-'Exceptional Child Calc'!$H$25)+SUM('Enrollment Input'!$G$18-'Exceptional Child Calc'!$H$26)&gt;299.99,0,(J16/M16))),2)</f>
        <v>0</v>
      </c>
    </row>
    <row r="17" spans="1:17" ht="6" customHeight="1" x14ac:dyDescent="0.2">
      <c r="J17" s="26"/>
      <c r="K17" s="26"/>
      <c r="Q17" s="40"/>
    </row>
    <row r="18" spans="1:17" ht="15.75" x14ac:dyDescent="0.25">
      <c r="B18" s="11" t="s">
        <v>45</v>
      </c>
      <c r="F18" s="13" t="str">
        <f>IF(J18=0," ",'Enrollment Input'!G20)</f>
        <v xml:space="preserve"> </v>
      </c>
      <c r="G18" s="24" t="s">
        <v>95</v>
      </c>
      <c r="H18" s="30"/>
      <c r="I18" s="15" t="s">
        <v>15</v>
      </c>
      <c r="J18" s="108">
        <f>IF('Enrollment Input'!G20=0,0,'Enrollment Input'!G20)</f>
        <v>0</v>
      </c>
      <c r="K18" s="108"/>
      <c r="L18" s="17" t="s">
        <v>53</v>
      </c>
      <c r="M18" s="13">
        <f>IF(J18=0,0,IF(J18&gt;99.99,LOOKUP(J18,criteria!Q3:Q10,criteria!R3:R10),LOOKUP('Enrollment Input'!H21,criteria!Y3:Y5,criteria!Z3:Z5)))</f>
        <v>0</v>
      </c>
      <c r="N18" s="15" t="s">
        <v>15</v>
      </c>
      <c r="O18" s="13">
        <f>ROUND(IF(J18=0,0,IF(J18&lt;99.99,IF(M18=0,8,(J18/M18)),IF(Q18&lt;LOOKUP(J18,criteria!$Q$3:$Q$10,criteria!$S$3:$S$10),LOOKUP(J18,criteria!$Q$3:$Q$10,criteria!$S$3:$S$10),Q18))),2)</f>
        <v>0</v>
      </c>
      <c r="P18" t="str">
        <f>IF(O18=0," ",IF(O18=Q18," ","Minimum"))</f>
        <v xml:space="preserve"> </v>
      </c>
      <c r="Q18" s="40">
        <f>ROUND(IF(M18=0,0,(J18/M18)),2)</f>
        <v>0</v>
      </c>
    </row>
    <row r="19" spans="1:17" x14ac:dyDescent="0.2">
      <c r="B19" s="11"/>
      <c r="J19" s="29"/>
      <c r="K19" s="29"/>
      <c r="M19" s="16"/>
      <c r="N19" s="15"/>
      <c r="O19" s="16"/>
      <c r="Q19" s="40"/>
    </row>
    <row r="20" spans="1:17" ht="15.75" x14ac:dyDescent="0.25">
      <c r="A20" s="4" t="s">
        <v>47</v>
      </c>
      <c r="J20" s="26"/>
      <c r="K20" s="26"/>
      <c r="Q20" s="40"/>
    </row>
    <row r="21" spans="1:17" ht="3.75" customHeight="1" x14ac:dyDescent="0.2">
      <c r="J21" s="26"/>
      <c r="K21" s="26"/>
      <c r="Q21" s="40"/>
    </row>
    <row r="22" spans="1:17" x14ac:dyDescent="0.2">
      <c r="B22" t="s">
        <v>48</v>
      </c>
      <c r="J22" s="108" t="str">
        <f>IF('Exceptional Child Calc'!H55=0," ",'Exceptional Child Calc'!H55)</f>
        <v xml:space="preserve"> </v>
      </c>
      <c r="K22" s="108"/>
      <c r="Q22" s="40"/>
    </row>
    <row r="23" spans="1:17" ht="6" customHeight="1" x14ac:dyDescent="0.2">
      <c r="J23" s="26"/>
      <c r="K23" s="26"/>
      <c r="Q23" s="40"/>
    </row>
    <row r="24" spans="1:17" x14ac:dyDescent="0.2">
      <c r="B24" t="s">
        <v>49</v>
      </c>
      <c r="J24" s="108" t="str">
        <f>IF('Exceptional Child Calc'!H22=0," ",'Exceptional Child Calc'!H22)</f>
        <v xml:space="preserve"> </v>
      </c>
      <c r="K24" s="108"/>
      <c r="Q24" s="40"/>
    </row>
    <row r="25" spans="1:17" ht="6" customHeight="1" x14ac:dyDescent="0.2">
      <c r="J25" s="26"/>
      <c r="K25" s="26"/>
      <c r="Q25" s="40"/>
    </row>
    <row r="26" spans="1:17" x14ac:dyDescent="0.2">
      <c r="B26" t="s">
        <v>50</v>
      </c>
      <c r="J26" s="108">
        <f>0</f>
        <v>0</v>
      </c>
      <c r="K26" s="108"/>
      <c r="Q26" s="40"/>
    </row>
    <row r="27" spans="1:17" ht="6" customHeight="1" x14ac:dyDescent="0.2">
      <c r="J27" s="26"/>
      <c r="K27" s="26"/>
      <c r="Q27" s="40"/>
    </row>
    <row r="28" spans="1:17" x14ac:dyDescent="0.2">
      <c r="B28" t="s">
        <v>51</v>
      </c>
      <c r="J28" s="108" t="str">
        <f>IF('Enrollment Input'!G54=0," ",'Enrollment Input'!G54)</f>
        <v xml:space="preserve"> </v>
      </c>
      <c r="K28" s="108"/>
      <c r="Q28" s="40"/>
    </row>
    <row r="29" spans="1:17" ht="6" customHeight="1" x14ac:dyDescent="0.2">
      <c r="J29" s="29"/>
      <c r="K29" s="29"/>
      <c r="Q29" s="40"/>
    </row>
    <row r="30" spans="1:17" ht="13.5" customHeight="1" thickBot="1" x14ac:dyDescent="0.3">
      <c r="B30" s="1" t="s">
        <v>52</v>
      </c>
      <c r="J30" s="109">
        <f>SUM(J22:K28)</f>
        <v>0</v>
      </c>
      <c r="K30" s="109"/>
      <c r="L30" s="17" t="s">
        <v>53</v>
      </c>
      <c r="M30" s="13">
        <f>IF(SUM('Enrollment Input'!C14:C20)=0,0,IF(J30&gt;=14,LOOKUP(J30,criteria!$U$3:$U$10,criteria!$V$3:$V$10),0))</f>
        <v>0</v>
      </c>
      <c r="N30" s="15" t="s">
        <v>15</v>
      </c>
      <c r="O30" s="13">
        <f>IF(J30=0,0,IF(Q30&lt;LOOKUP(J30,criteria!$U$3:$U$10,criteria!$W$3:$W$10),LOOKUP(J30,criteria!$U$3:$U$10,criteria!$W$3:$W$10),Q30))</f>
        <v>0</v>
      </c>
      <c r="P30" t="str">
        <f>IF(O30=0," ",IF(O30=Q30," ","Minimum"))</f>
        <v xml:space="preserve"> </v>
      </c>
      <c r="Q30" s="40">
        <f>ROUND(IF(SUM('Enrollment Input'!C14:C20)=0,0,IF(M30=0,0,(J30/M30))),2)</f>
        <v>0</v>
      </c>
    </row>
    <row r="31" spans="1:17" ht="12" customHeight="1" thickTop="1" x14ac:dyDescent="0.2">
      <c r="B31" s="119"/>
      <c r="C31" s="119"/>
      <c r="D31" s="119"/>
      <c r="E31" s="119"/>
      <c r="F31" s="31"/>
      <c r="G31" s="31"/>
      <c r="H31" s="31"/>
      <c r="J31" s="12"/>
      <c r="N31" s="15"/>
      <c r="O31" s="13"/>
      <c r="P31" s="1"/>
      <c r="Q31" s="40"/>
    </row>
    <row r="32" spans="1:17" ht="15.75" x14ac:dyDescent="0.25">
      <c r="A32" s="4" t="s">
        <v>46</v>
      </c>
      <c r="Q32" s="40"/>
    </row>
    <row r="33" spans="1:17" ht="7.5" customHeight="1" x14ac:dyDescent="0.2">
      <c r="Q33" s="40"/>
    </row>
    <row r="34" spans="1:17" ht="12.75" customHeight="1" x14ac:dyDescent="0.25">
      <c r="A34" s="15" t="s">
        <v>100</v>
      </c>
      <c r="B34" s="113" t="str">
        <f>'Enrollment Input'!B23</f>
        <v xml:space="preserve">Kindergarten </v>
      </c>
      <c r="C34" s="113"/>
      <c r="D34" s="113"/>
      <c r="E34" s="113"/>
      <c r="F34" s="5"/>
      <c r="G34" s="5"/>
      <c r="H34" s="5"/>
      <c r="I34" s="5"/>
      <c r="J34" s="108" t="str">
        <f>IF('Enrollment Input'!G23=0," ",'Enrollment Input'!G23)</f>
        <v xml:space="preserve"> </v>
      </c>
      <c r="K34" s="108"/>
      <c r="L34" s="17" t="s">
        <v>53</v>
      </c>
      <c r="M34" s="13">
        <f>IF('Enrollment Input'!G23=0,0,LOOKUP(J34,criteria!$A$3:$A$10,criteria!$B$3:$B$10))</f>
        <v>0</v>
      </c>
      <c r="N34" s="15" t="s">
        <v>15</v>
      </c>
      <c r="O34" s="13">
        <f>IF(Q34=0,0,IF(Q34&lt;LOOKUP(J34,criteria!$A$3:$A$10,criteria!$C$3:$C$10),LOOKUP(J34,criteria!$A$3:$A$10,criteria!$C$3:$C$10),Q34))</f>
        <v>0</v>
      </c>
      <c r="P34" s="10" t="str">
        <f>IF('Enrollment Input'!G23=0," ",IF(O34=0,"ADD to 1-6",IF(O34=Q34," ","Minimum")))</f>
        <v xml:space="preserve"> </v>
      </c>
      <c r="Q34" s="40">
        <f>ROUND(IF('Enrollment Input'!G23=0,0,IF(M34=0,0,(J34/M34))),2)</f>
        <v>0</v>
      </c>
    </row>
    <row r="35" spans="1:17" ht="6" customHeight="1" x14ac:dyDescent="0.2">
      <c r="A35" s="15"/>
      <c r="J35" s="27"/>
      <c r="K35" s="27"/>
      <c r="Q35" s="40"/>
    </row>
    <row r="36" spans="1:17" ht="12.75" customHeight="1" x14ac:dyDescent="0.25">
      <c r="A36" s="15"/>
      <c r="B36" s="113" t="str">
        <f>'Enrollment Input'!B24</f>
        <v>Grades 1-6</v>
      </c>
      <c r="C36" s="113"/>
      <c r="D36" s="113"/>
      <c r="E36" s="113"/>
      <c r="F36" s="5"/>
      <c r="G36" s="5"/>
      <c r="H36" s="5"/>
      <c r="I36" s="5"/>
      <c r="J36" s="108" t="str">
        <f>IF('Enrollment Input'!G24=0," ",IF(P34="ADD to 1-6",SUM('Enrollment Input'!G24+'Enrollment Input'!G23),'Enrollment Input'!G24))</f>
        <v xml:space="preserve"> </v>
      </c>
      <c r="K36" s="108"/>
      <c r="L36" s="17" t="s">
        <v>53</v>
      </c>
      <c r="M36" s="13">
        <f>IF('Enrollment Input'!G24=0,0,LOOKUP(J36,criteria!$M$3:$M$10,criteria!$N$3:$N$10))</f>
        <v>0</v>
      </c>
      <c r="N36" s="15" t="s">
        <v>15</v>
      </c>
      <c r="O36" s="13">
        <f>IF(Q36=0,0,IF(Q36&lt;LOOKUP(J36,criteria!$M$3:$M$10,criteria!$O$3:$O$10),LOOKUP(J36,criteria!$M$3:$M$10,criteria!$O$3:$O$10),Q36))</f>
        <v>0</v>
      </c>
      <c r="P36" t="str">
        <f>IF(O36=0," ",IF(O36=Q36," ","Minimum"))</f>
        <v xml:space="preserve"> </v>
      </c>
      <c r="Q36" s="40">
        <f>ROUND(IF('Enrollment Input'!G24=0,0,(J36/M36)),2)</f>
        <v>0</v>
      </c>
    </row>
    <row r="37" spans="1:17" ht="6.75" customHeight="1" x14ac:dyDescent="0.2">
      <c r="A37" s="15"/>
      <c r="J37" s="28"/>
      <c r="K37" s="28"/>
      <c r="Q37" s="40"/>
    </row>
    <row r="38" spans="1:17" ht="12.75" customHeight="1" x14ac:dyDescent="0.25">
      <c r="A38" s="15"/>
      <c r="B38" s="113" t="str">
        <f>'Enrollment Input'!B25</f>
        <v xml:space="preserve">Secondary </v>
      </c>
      <c r="C38" s="113"/>
      <c r="D38" s="113"/>
      <c r="E38" s="113"/>
      <c r="F38" s="5"/>
      <c r="G38" s="5"/>
      <c r="H38" s="5"/>
      <c r="I38" s="5"/>
      <c r="J38" s="108" t="str">
        <f>IF('Enrollment Input'!G25=0," ",'Enrollment Input'!G25)</f>
        <v xml:space="preserve"> </v>
      </c>
      <c r="K38" s="108"/>
      <c r="L38" s="17" t="s">
        <v>53</v>
      </c>
      <c r="M38" s="13">
        <f>IF(J38=" ",0,IF(J38&gt;99.99,LOOKUP(J38,criteria!Q3:Q10,criteria!R3:R10),LOOKUP('Enrollment Input'!H26,criteria!Y3:Y5,criteria!Z3:Z5)))</f>
        <v>0</v>
      </c>
      <c r="N38" s="15" t="s">
        <v>15</v>
      </c>
      <c r="O38" s="13">
        <f>ROUND(IF(J38=" ",0,IF(J38&lt;99.99,IF(M38=0,8,(J38/M38)),IF(Q38&lt;LOOKUP(J38,criteria!$Q$3:$Q$10,criteria!$S$3:$S$10),LOOKUP(J38,criteria!$Q$3:$Q$10,criteria!$S$3:$S$10),Q38))),2)</f>
        <v>0</v>
      </c>
      <c r="P38" t="str">
        <f>IF(O38=0," ",IF(O38=Q38," ","Minimum"))</f>
        <v xml:space="preserve"> </v>
      </c>
      <c r="Q38" s="40">
        <f>ROUND(IF(M38=0,0,(J38/M38)),2)</f>
        <v>0</v>
      </c>
    </row>
    <row r="39" spans="1:17" ht="6.75" customHeight="1" x14ac:dyDescent="0.2">
      <c r="A39" s="15"/>
      <c r="J39" s="26"/>
      <c r="K39" s="26"/>
      <c r="Q39" s="40"/>
    </row>
    <row r="40" spans="1:17" ht="12.75" customHeight="1" x14ac:dyDescent="0.25">
      <c r="A40" s="15" t="s">
        <v>101</v>
      </c>
      <c r="B40" s="113" t="str">
        <f>'Enrollment Input'!B27</f>
        <v xml:space="preserve">Kindergarten </v>
      </c>
      <c r="C40" s="113"/>
      <c r="D40" s="113"/>
      <c r="E40" s="113"/>
      <c r="F40" s="5"/>
      <c r="G40" s="5"/>
      <c r="H40" s="5"/>
      <c r="I40" s="5"/>
      <c r="J40" s="108" t="str">
        <f>IF('Enrollment Input'!G27=0," ",'Enrollment Input'!G27)</f>
        <v xml:space="preserve"> </v>
      </c>
      <c r="K40" s="108"/>
      <c r="L40" s="17" t="s">
        <v>53</v>
      </c>
      <c r="M40" s="13">
        <f>IF('Enrollment Input'!G27=0,0,LOOKUP(J40,criteria!$A$3:$A$10,criteria!$B$3:$B$10))</f>
        <v>0</v>
      </c>
      <c r="N40" s="15" t="s">
        <v>15</v>
      </c>
      <c r="O40" s="13">
        <f>IF(Q40=0,0,IF(LOOKUP(J40,criteria!$A$3:$A$10,criteria!$C$3:$C$10)=0,0,IF(Q40&lt;LOOKUP(J40,criteria!$A$3:$A$10,criteria!$C$3:$C$10),LOOKUP(J40,criteria!$A$3:$A$10,criteria!$C$3:$C$10),Q40)))</f>
        <v>0</v>
      </c>
      <c r="P40" s="10" t="str">
        <f>IF('Enrollment Input'!G27=0," ",IF(O40=0,"ADD to 1-6",IF(O40=Q40," ","Minimum")))</f>
        <v xml:space="preserve"> </v>
      </c>
      <c r="Q40" s="40">
        <f>ROUND(IF('Enrollment Input'!G27=0,0,IF(M40=0,0,(J40/M40))),2)</f>
        <v>0</v>
      </c>
    </row>
    <row r="41" spans="1:17" ht="6.75" customHeight="1" x14ac:dyDescent="0.2">
      <c r="A41" s="15"/>
      <c r="J41" s="26"/>
      <c r="K41" s="26"/>
      <c r="Q41" s="40"/>
    </row>
    <row r="42" spans="1:17" ht="12.75" customHeight="1" x14ac:dyDescent="0.25">
      <c r="A42" s="15"/>
      <c r="B42" s="113" t="str">
        <f>'Enrollment Input'!B28</f>
        <v>Grades 1-6</v>
      </c>
      <c r="C42" s="113"/>
      <c r="D42" s="113"/>
      <c r="E42" s="113"/>
      <c r="F42" s="5"/>
      <c r="G42" s="5"/>
      <c r="H42" s="5"/>
      <c r="I42" s="5"/>
      <c r="J42" s="108" t="str">
        <f>IF('Enrollment Input'!G28=0," ",IF(P40="ADD to 1-6",SUM('Enrollment Input'!G28+'Enrollment Input'!G27),'Enrollment Input'!G28))</f>
        <v xml:space="preserve"> </v>
      </c>
      <c r="K42" s="108"/>
      <c r="L42" s="17" t="s">
        <v>53</v>
      </c>
      <c r="M42" s="13">
        <f>IF('Enrollment Input'!G28=0,0,LOOKUP(J42,criteria!$M$3:$M$10,criteria!$N$3:$N$10))</f>
        <v>0</v>
      </c>
      <c r="N42" s="15" t="s">
        <v>15</v>
      </c>
      <c r="O42" s="13">
        <f>IF(Q42=0,0,IF(Q42&lt;LOOKUP(J42,criteria!$M$3:$M$10,criteria!$O$3:$O$10),LOOKUP(J42,criteria!$M$3:$M$10,criteria!$O$3:$O$10),Q42))</f>
        <v>0</v>
      </c>
      <c r="P42" t="str">
        <f>IF(O42=0," ",IF(O42=Q42," ","Minimum"))</f>
        <v xml:space="preserve"> </v>
      </c>
      <c r="Q42" s="40">
        <f>ROUND(IF('Enrollment Input'!G28=0,0,(J42/M42)),2)</f>
        <v>0</v>
      </c>
    </row>
    <row r="43" spans="1:17" ht="6.75" customHeight="1" x14ac:dyDescent="0.2">
      <c r="A43" s="15"/>
      <c r="J43" s="26"/>
      <c r="K43" s="26"/>
      <c r="Q43" s="40"/>
    </row>
    <row r="44" spans="1:17" ht="12.75" customHeight="1" x14ac:dyDescent="0.25">
      <c r="A44" s="15"/>
      <c r="B44" s="113" t="str">
        <f>'Enrollment Input'!B29</f>
        <v xml:space="preserve">Secondary </v>
      </c>
      <c r="C44" s="113"/>
      <c r="D44" s="113"/>
      <c r="E44" s="113"/>
      <c r="F44" s="5"/>
      <c r="G44" s="5"/>
      <c r="H44" s="5"/>
      <c r="I44" s="5"/>
      <c r="J44" s="108" t="str">
        <f>IF('Enrollment Input'!G29=0," ",'Enrollment Input'!G29)</f>
        <v xml:space="preserve"> </v>
      </c>
      <c r="K44" s="108"/>
      <c r="L44" s="17" t="s">
        <v>53</v>
      </c>
      <c r="M44" s="13">
        <f>IF(J44=" ",0,IF(J44&gt;99.99,LOOKUP(J44,criteria!Q3:Q10,criteria!R3:R10),LOOKUP('Enrollment Input'!H30,criteria!Y3:Y5,criteria!Z3:Z5)))</f>
        <v>0</v>
      </c>
      <c r="N44" s="15" t="s">
        <v>15</v>
      </c>
      <c r="O44" s="13">
        <f>ROUND(IF(J44=" ",0,IF(J44&lt;99.99,IF(M44=0,8,(J44/M44)),IF(Q44&lt;LOOKUP(J44,criteria!$Q$3:$Q$10,criteria!$S$3:$S$10),LOOKUP(J44,criteria!$Q$3:$Q$10,criteria!$S$3:$S$10),Q44))),2)</f>
        <v>0</v>
      </c>
      <c r="P44" t="str">
        <f>IF(O44=0," ",IF(O44=Q44," ","Minimum"))</f>
        <v xml:space="preserve"> </v>
      </c>
      <c r="Q44" s="40">
        <f>ROUND(IF(M44=0,0,(J44/M44)),2)</f>
        <v>0</v>
      </c>
    </row>
    <row r="45" spans="1:17" ht="6.75" customHeight="1" x14ac:dyDescent="0.2">
      <c r="A45" s="15"/>
      <c r="J45" s="26"/>
      <c r="K45" s="26"/>
      <c r="Q45" s="40"/>
    </row>
    <row r="46" spans="1:17" ht="12.75" customHeight="1" x14ac:dyDescent="0.25">
      <c r="A46" s="15" t="s">
        <v>102</v>
      </c>
      <c r="B46" s="113" t="str">
        <f>'Enrollment Input'!B31</f>
        <v xml:space="preserve">Kindergarten </v>
      </c>
      <c r="C46" s="113"/>
      <c r="D46" s="113"/>
      <c r="E46" s="113"/>
      <c r="F46" s="5"/>
      <c r="G46" s="5"/>
      <c r="H46" s="5"/>
      <c r="I46" s="5"/>
      <c r="J46" s="108" t="str">
        <f>IF('Enrollment Input'!G31=0," ",'Enrollment Input'!G31)</f>
        <v xml:space="preserve"> </v>
      </c>
      <c r="K46" s="108"/>
      <c r="L46" s="17" t="s">
        <v>53</v>
      </c>
      <c r="M46" s="13">
        <f>IF('Enrollment Input'!G31=0,0,LOOKUP(J46,criteria!$A$3:$A$10,criteria!$B$3:$B$10))</f>
        <v>0</v>
      </c>
      <c r="N46" s="15" t="s">
        <v>15</v>
      </c>
      <c r="O46" s="13">
        <f>IF(Q46=0,0,IF(LOOKUP(J46,criteria!$A$3:$A$10,criteria!$C$3:$C$10)=0,0,IF(Q46&lt;LOOKUP(J46,criteria!$A$3:$A$10,criteria!$C$3:$C$10),LOOKUP(J46,criteria!$A$3:$A$10,criteria!$C$3:$C$10),Q46)))</f>
        <v>0</v>
      </c>
      <c r="P46" s="10" t="str">
        <f>IF('Enrollment Input'!G31=0," ",IF(O46=0,"ADD to 1-6",IF(O46=Q46," ","Minimum")))</f>
        <v xml:space="preserve"> </v>
      </c>
      <c r="Q46" s="40">
        <f>ROUND(IF('Enrollment Input'!G33=0,0,IF(M46=0,0,(J46/M46))),2)</f>
        <v>0</v>
      </c>
    </row>
    <row r="47" spans="1:17" ht="6.75" customHeight="1" x14ac:dyDescent="0.2">
      <c r="A47" s="15"/>
      <c r="J47" s="26"/>
      <c r="K47" s="26"/>
      <c r="Q47" s="40"/>
    </row>
    <row r="48" spans="1:17" ht="12.75" customHeight="1" x14ac:dyDescent="0.25">
      <c r="A48" s="15"/>
      <c r="B48" s="113" t="str">
        <f>'Enrollment Input'!B32</f>
        <v>Grades 1-6</v>
      </c>
      <c r="C48" s="113"/>
      <c r="D48" s="113"/>
      <c r="E48" s="113"/>
      <c r="F48" s="5"/>
      <c r="G48" s="5"/>
      <c r="H48" s="5"/>
      <c r="I48" s="5"/>
      <c r="J48" s="108" t="str">
        <f>IF('Enrollment Input'!G32=0," ",IF(P46="ADD to 1-6",SUM('Enrollment Input'!G31+'Enrollment Input'!G32),'Enrollment Input'!G32))</f>
        <v xml:space="preserve"> </v>
      </c>
      <c r="K48" s="108"/>
      <c r="L48" s="17" t="s">
        <v>53</v>
      </c>
      <c r="M48" s="13">
        <f>IF('Enrollment Input'!G32=0,0,LOOKUP(J48,criteria!$M$3:$M$10,criteria!$N$3:$N$10))</f>
        <v>0</v>
      </c>
      <c r="N48" s="15" t="s">
        <v>15</v>
      </c>
      <c r="O48" s="13">
        <f>IF(Q48=0,0,IF(Q48&lt;LOOKUP(J48,criteria!$M$3:$M$10,criteria!$O$3:$O$10),LOOKUP(J48,criteria!$M$3:$M$10,criteria!$O$3:$O$10),Q48))</f>
        <v>0</v>
      </c>
      <c r="P48" t="str">
        <f>IF(O48=0," ",IF(O48=Q48," ","Minimum"))</f>
        <v xml:space="preserve"> </v>
      </c>
      <c r="Q48" s="40">
        <f>ROUND(IF('Enrollment Input'!G32=0,0,(J48/M48)),2)</f>
        <v>0</v>
      </c>
    </row>
    <row r="49" spans="1:17" ht="6.75" customHeight="1" x14ac:dyDescent="0.2">
      <c r="A49" s="15"/>
      <c r="J49" s="26"/>
      <c r="K49" s="26"/>
      <c r="Q49" s="40"/>
    </row>
    <row r="50" spans="1:17" ht="12.75" customHeight="1" x14ac:dyDescent="0.25">
      <c r="A50" s="15"/>
      <c r="B50" s="113" t="str">
        <f>'Enrollment Input'!B33</f>
        <v xml:space="preserve">Secondary </v>
      </c>
      <c r="C50" s="113"/>
      <c r="D50" s="113"/>
      <c r="E50" s="113"/>
      <c r="F50" s="5"/>
      <c r="G50" s="5"/>
      <c r="H50" s="5"/>
      <c r="I50" s="5"/>
      <c r="J50" s="108" t="str">
        <f>IF('Enrollment Input'!G33=0," ",'Enrollment Input'!G33)</f>
        <v xml:space="preserve"> </v>
      </c>
      <c r="K50" s="108"/>
      <c r="L50" s="17" t="s">
        <v>53</v>
      </c>
      <c r="M50" s="13">
        <f>IF(J50=" ",0,IF(J50&gt;99.99,LOOKUP(J50,criteria!Q3:Q10,criteria!R3:R10),LOOKUP('Enrollment Input'!H34,criteria!Y3:Y5,criteria!Z3:Z5)))</f>
        <v>0</v>
      </c>
      <c r="N50" s="15" t="s">
        <v>15</v>
      </c>
      <c r="O50" s="13">
        <f>ROUND(IF(J50=" ",0,IF(J50&lt;99.99,IF(M50=0,8,(J50/M50)),IF(Q50&lt;LOOKUP(J50,criteria!$Q$3:$Q$10,criteria!$S$3:$S$10),LOOKUP(J50,criteria!$Q$3:$Q$10,criteria!$S$3:$S$10),Q50))),2)</f>
        <v>0</v>
      </c>
      <c r="P50" t="str">
        <f>IF(O50=0," ",IF(O50=Q50," ","Minimum"))</f>
        <v xml:space="preserve"> </v>
      </c>
      <c r="Q50" s="40">
        <f>ROUND(IF(M50=0,0,(J50/M50)),2)</f>
        <v>0</v>
      </c>
    </row>
    <row r="51" spans="1:17" ht="6.75" customHeight="1" x14ac:dyDescent="0.2">
      <c r="A51" s="15"/>
      <c r="J51" s="26"/>
      <c r="K51" s="26"/>
      <c r="Q51" s="40"/>
    </row>
    <row r="52" spans="1:17" ht="12.75" customHeight="1" x14ac:dyDescent="0.25">
      <c r="A52" s="15" t="s">
        <v>103</v>
      </c>
      <c r="B52" s="113" t="str">
        <f>'Enrollment Input'!B35</f>
        <v xml:space="preserve">Kindergarten </v>
      </c>
      <c r="C52" s="113"/>
      <c r="D52" s="113"/>
      <c r="E52" s="113"/>
      <c r="F52" s="5"/>
      <c r="G52" s="5"/>
      <c r="H52" s="5"/>
      <c r="I52" s="5"/>
      <c r="J52" s="108" t="str">
        <f>IF('Enrollment Input'!G35=0," ",'Enrollment Input'!G35)</f>
        <v xml:space="preserve"> </v>
      </c>
      <c r="K52" s="108"/>
      <c r="L52" s="17" t="s">
        <v>53</v>
      </c>
      <c r="M52" s="13">
        <f>IF('Enrollment Input'!G35=0,0,LOOKUP(J52,criteria!$A$3:$A$10,criteria!$B$3:$B$10))</f>
        <v>0</v>
      </c>
      <c r="N52" s="15" t="s">
        <v>15</v>
      </c>
      <c r="O52" s="13">
        <f>IF(Q52=0,0,IF(LOOKUP(J52,criteria!$A$3:$A$10,criteria!$C$3:$C$10)=0,0,IF(Q52&lt;LOOKUP(J52,criteria!$A$3:$A$10,criteria!$C$3:$C$10),LOOKUP(J52,criteria!$A$3:$A$10,criteria!$C$3:$C$10),Q52)))</f>
        <v>0</v>
      </c>
      <c r="P52" s="10" t="str">
        <f>IF('Enrollment Input'!G35=0," ",IF(O52=0,"ADD to 1-6",IF(O52=Q52," ","Minimum")))</f>
        <v xml:space="preserve"> </v>
      </c>
      <c r="Q52" s="40">
        <f>ROUND(IF('Enrollment Input'!G35=0,0,IF(M52=0,0,(J52/M52))),2)</f>
        <v>0</v>
      </c>
    </row>
    <row r="53" spans="1:17" ht="6.75" customHeight="1" x14ac:dyDescent="0.2">
      <c r="A53" s="15"/>
      <c r="J53" s="26"/>
      <c r="K53" s="26"/>
      <c r="Q53" s="40"/>
    </row>
    <row r="54" spans="1:17" ht="12.75" customHeight="1" x14ac:dyDescent="0.25">
      <c r="A54" s="15"/>
      <c r="B54" s="113" t="str">
        <f>'Enrollment Input'!B36</f>
        <v>Grades 1-6</v>
      </c>
      <c r="C54" s="113"/>
      <c r="D54" s="113"/>
      <c r="E54" s="113"/>
      <c r="F54" s="5"/>
      <c r="G54" s="5"/>
      <c r="H54" s="5"/>
      <c r="I54" s="5"/>
      <c r="J54" s="108" t="str">
        <f>IF('Enrollment Input'!G36=0," ",IF(P52="ADD to 1-6",SUM('Enrollment Input'!G35+'Enrollment Input'!G36),'Enrollment Input'!G36))</f>
        <v xml:space="preserve"> </v>
      </c>
      <c r="K54" s="108"/>
      <c r="L54" s="17" t="s">
        <v>53</v>
      </c>
      <c r="M54" s="13">
        <f>IF('Enrollment Input'!G36=0,0,LOOKUP(J54,criteria!$M$3:$M$10,criteria!$N$3:$N$10))</f>
        <v>0</v>
      </c>
      <c r="N54" s="15" t="s">
        <v>15</v>
      </c>
      <c r="O54" s="13">
        <f>IF(Q54=0,0,IF(Q54&lt;LOOKUP(J54,criteria!$M$3:$M$10,criteria!$O$3:$O$10),LOOKUP(J54,criteria!$M$3:$M$10,criteria!$O$3:$O$10),Q54))</f>
        <v>0</v>
      </c>
      <c r="P54" t="str">
        <f>IF(O54=0," ",IF(O54=Q54," ","Minimum"))</f>
        <v xml:space="preserve"> </v>
      </c>
      <c r="Q54" s="40">
        <f>ROUND(IF('Enrollment Input'!G36=0,0,(J54/M54)),2)</f>
        <v>0</v>
      </c>
    </row>
    <row r="55" spans="1:17" ht="6.75" customHeight="1" x14ac:dyDescent="0.2">
      <c r="A55" s="15"/>
      <c r="J55" s="26"/>
      <c r="K55" s="26"/>
      <c r="Q55" s="40"/>
    </row>
    <row r="56" spans="1:17" ht="12.75" customHeight="1" x14ac:dyDescent="0.25">
      <c r="A56" s="15"/>
      <c r="B56" s="113" t="str">
        <f>'Enrollment Input'!B37</f>
        <v xml:space="preserve">Secondary </v>
      </c>
      <c r="C56" s="113"/>
      <c r="D56" s="113"/>
      <c r="E56" s="113"/>
      <c r="F56" s="5"/>
      <c r="G56" s="5"/>
      <c r="H56" s="5"/>
      <c r="I56" s="5"/>
      <c r="J56" s="108" t="str">
        <f>IF('Enrollment Input'!G37=0," ",'Enrollment Input'!G37)</f>
        <v xml:space="preserve"> </v>
      </c>
      <c r="K56" s="108"/>
      <c r="L56" s="17" t="s">
        <v>53</v>
      </c>
      <c r="M56" s="13">
        <f>IF(J56=" ",0,IF(J56&gt;99.99,LOOKUP(J56,criteria!Q3:Q10,criteria!R3:R10),LOOKUP('Enrollment Input'!H38,criteria!Y3:Y5,criteria!Z3:Z5)))</f>
        <v>0</v>
      </c>
      <c r="N56" s="15" t="s">
        <v>15</v>
      </c>
      <c r="O56" s="13">
        <f>ROUND(IF(J56=" ",0,IF(J56&lt;99.99,IF(M56=0,8,(J56/M56)),IF(Q56&lt;LOOKUP(J56,criteria!$Q$3:$Q$10,criteria!$S$3:$S$10),LOOKUP(J56,criteria!$Q$3:$Q$10,criteria!$S$3:$S$10),Q56))),2)</f>
        <v>0</v>
      </c>
      <c r="P56" t="str">
        <f>IF(O56=0," ",IF(O56=Q56," ","Minimum"))</f>
        <v xml:space="preserve"> </v>
      </c>
      <c r="Q56" s="40">
        <f>ROUND(IF(M56=0,0,(J56/M56)),2)</f>
        <v>0</v>
      </c>
    </row>
    <row r="57" spans="1:17" ht="6.75" customHeight="1" x14ac:dyDescent="0.2">
      <c r="A57" s="15"/>
      <c r="J57" s="26"/>
      <c r="K57" s="26"/>
      <c r="Q57" s="40"/>
    </row>
    <row r="58" spans="1:17" ht="12.75" customHeight="1" x14ac:dyDescent="0.25">
      <c r="A58" s="15" t="s">
        <v>106</v>
      </c>
      <c r="B58" s="113" t="str">
        <f>'Enrollment Input'!B40</f>
        <v xml:space="preserve">Kindergarten </v>
      </c>
      <c r="C58" s="113"/>
      <c r="D58" s="113"/>
      <c r="E58" s="113"/>
      <c r="F58" s="5"/>
      <c r="G58" s="5"/>
      <c r="H58" s="5"/>
      <c r="I58" s="5"/>
      <c r="J58" s="108" t="str">
        <f>IF('Enrollment Input'!G40=0," ",'Enrollment Input'!G40)</f>
        <v xml:space="preserve"> </v>
      </c>
      <c r="K58" s="108"/>
      <c r="L58" s="17" t="s">
        <v>53</v>
      </c>
      <c r="M58" s="13">
        <f>IF('Enrollment Input'!G40=0,0,LOOKUP(J58,criteria!$A$3:$A$10,criteria!$B$3:$B$10))</f>
        <v>0</v>
      </c>
      <c r="N58" s="15" t="s">
        <v>15</v>
      </c>
      <c r="O58" s="13">
        <f>IF(Q58=0,0,IF(LOOKUP(J58,criteria!$A$3:$A$10,criteria!$C$3:$C$10)=0,0,IF(Q58&lt;LOOKUP(J58,criteria!$A$3:$A$10,criteria!$C$3:$C$10),LOOKUP(J58,criteria!$A$3:$A$10,criteria!$C$3:$C$10),Q58)))</f>
        <v>0</v>
      </c>
      <c r="P58" s="10" t="str">
        <f>IF('Enrollment Input'!G40=0," ",IF(O58=0,"ADD to 1-3",IF(O58=Q58," ","Minimum")))</f>
        <v xml:space="preserve"> </v>
      </c>
      <c r="Q58" s="40">
        <f>ROUND(IF('Enrollment Input'!G40=0,0,IF(M58=0,0,(J58/M58))),2)</f>
        <v>0</v>
      </c>
    </row>
    <row r="59" spans="1:17" ht="6.75" customHeight="1" x14ac:dyDescent="0.2">
      <c r="A59" s="15"/>
      <c r="J59" s="26"/>
      <c r="K59" s="26"/>
      <c r="Q59" s="40"/>
    </row>
    <row r="60" spans="1:17" ht="13.5" customHeight="1" x14ac:dyDescent="0.25">
      <c r="A60" s="15"/>
      <c r="B60" s="113" t="str">
        <f>'Enrollment Input'!B41</f>
        <v>Grades 1-3</v>
      </c>
      <c r="C60" s="113"/>
      <c r="D60" s="113"/>
      <c r="E60" s="113"/>
      <c r="F60" s="5"/>
      <c r="G60" s="5"/>
      <c r="H60" s="5"/>
      <c r="I60" s="5"/>
      <c r="J60" s="108" t="str">
        <f>IF('Enrollment Input'!$G$41=0," ",IF($P$58="ADD to 1-3",SUM('Enrollment Input'!$G$41+'Enrollment Input'!$G$40),'Enrollment Input'!$G$41))</f>
        <v xml:space="preserve"> </v>
      </c>
      <c r="K60" s="108"/>
      <c r="L60" s="17" t="s">
        <v>53</v>
      </c>
      <c r="M60" s="13">
        <f>IF('Enrollment Input'!G41=0,0,IF(SUM($J$60+$J$61)&gt;299.99,20,0))</f>
        <v>0</v>
      </c>
      <c r="N60" s="15" t="s">
        <v>15</v>
      </c>
      <c r="O60" s="13">
        <f>IF(Q60=0,0,IF(Q60&lt;LOOKUP(J60,criteria!$M$3:$M$10,criteria!$O$3:$O$10),LOOKUP(J60,criteria!$M$3:$M$10,criteria!$O$3:$O$10),Q60))</f>
        <v>0</v>
      </c>
      <c r="P60" t="str">
        <f>IF(O60=0," ",IF(O60=Q60," ","Minimum"))</f>
        <v xml:space="preserve"> </v>
      </c>
      <c r="Q60" s="40">
        <f>ROUND(IF('Enrollment Input'!G41=0,0,(J60/M60)),2)</f>
        <v>0</v>
      </c>
    </row>
    <row r="61" spans="1:17" ht="15" customHeight="1" x14ac:dyDescent="0.25">
      <c r="B61" s="113" t="str">
        <f>'Enrollment Input'!B42</f>
        <v>Grades 4-6</v>
      </c>
      <c r="C61" s="113"/>
      <c r="D61" s="113"/>
      <c r="E61" s="113"/>
      <c r="F61" s="5"/>
      <c r="G61" s="5"/>
      <c r="H61" s="5"/>
      <c r="I61" s="5"/>
      <c r="J61" s="108" t="str">
        <f>IF('Enrollment Input'!$G$42=0," ",'Enrollment Input'!$G$42)</f>
        <v xml:space="preserve"> </v>
      </c>
      <c r="K61" s="108"/>
      <c r="L61" s="17" t="s">
        <v>53</v>
      </c>
      <c r="M61" s="13">
        <f>IF('Enrollment Input'!G42=0,0,IF(SUM($J$60+$J$61)&gt;299.99,23,0))</f>
        <v>0</v>
      </c>
      <c r="N61" s="15" t="s">
        <v>15</v>
      </c>
      <c r="O61" s="13">
        <f>IF(Q61=0,0,IF(Q61&lt;LOOKUP(J61,criteria!$M$3:$M$10,criteria!$O$3:$O$10),LOOKUP(J61,criteria!$M$3:$M$10,criteria!$O$3:$O$10),Q61))</f>
        <v>0</v>
      </c>
      <c r="P61" t="str">
        <f>IF(O61=0," ",IF(O61=Q61," ","Minimum"))</f>
        <v xml:space="preserve"> </v>
      </c>
      <c r="Q61" s="40">
        <f>ROUND(IF('Enrollment Input'!G42=0,0,(J61/M61)),2)</f>
        <v>0</v>
      </c>
    </row>
    <row r="62" spans="1:17" ht="6.75" customHeight="1" x14ac:dyDescent="0.2">
      <c r="J62" s="26"/>
      <c r="K62" s="26"/>
      <c r="Q62" s="40"/>
    </row>
    <row r="63" spans="1:17" ht="12.75" customHeight="1" x14ac:dyDescent="0.25">
      <c r="B63" s="113" t="str">
        <f>'Enrollment Input'!B43</f>
        <v xml:space="preserve">Secondary </v>
      </c>
      <c r="C63" s="113"/>
      <c r="D63" s="113"/>
      <c r="E63" s="113"/>
      <c r="F63" s="5"/>
      <c r="G63" s="5"/>
      <c r="H63" s="5"/>
      <c r="I63" s="5"/>
      <c r="J63" s="108" t="str">
        <f>IF('Enrollment Input'!G43=0," ",'Enrollment Input'!G43)</f>
        <v xml:space="preserve"> </v>
      </c>
      <c r="K63" s="108"/>
      <c r="L63" s="17" t="s">
        <v>53</v>
      </c>
      <c r="M63" s="13">
        <f>IF(J63=" ",0,IF(J63&gt;99.99,LOOKUP(J63,criteria!Q3:Q10,criteria!R3:R10),LOOKUP('Enrollment Input'!H44,criteria!Y3:Y5,criteria!Z3:Z5)))</f>
        <v>0</v>
      </c>
      <c r="N63" s="15" t="s">
        <v>15</v>
      </c>
      <c r="O63" s="13">
        <f>ROUND(IF(J63=" ",0,IF(J63&lt;99.99,IF(M63=0,8,(J63/M63)),IF(Q63&lt;LOOKUP(J63,criteria!$Q$3:$Q$10,criteria!$S$3:$S$10),LOOKUP(J63,criteria!$Q$3:$Q$10,criteria!$S$3:$S$10),Q63))),2)</f>
        <v>0</v>
      </c>
      <c r="P63" t="str">
        <f>IF(O63=0," ",IF(O63=Q63," ","Minimum"))</f>
        <v xml:space="preserve"> </v>
      </c>
      <c r="Q63" s="40">
        <f>ROUND(IF(M63=0,0,(J63/M63)),2)</f>
        <v>0</v>
      </c>
    </row>
    <row r="64" spans="1:17" ht="14.25" customHeight="1" x14ac:dyDescent="0.2">
      <c r="J64" s="12"/>
      <c r="N64" s="15"/>
      <c r="O64" s="13"/>
      <c r="P64" s="1"/>
      <c r="Q64" s="40"/>
    </row>
    <row r="65" spans="1:17" ht="19.5" customHeight="1" x14ac:dyDescent="0.25">
      <c r="A65" s="4" t="s">
        <v>116</v>
      </c>
      <c r="Q65" s="40"/>
    </row>
    <row r="66" spans="1:17" ht="15.75" x14ac:dyDescent="0.25">
      <c r="B66" s="120" t="str">
        <f>IF('Enrollment Input'!E45=0," ","Alternative Secondary High School")</f>
        <v xml:space="preserve"> </v>
      </c>
      <c r="C66" s="120"/>
      <c r="D66" s="120"/>
      <c r="E66" s="120"/>
      <c r="F66" s="121"/>
      <c r="G66" s="5"/>
      <c r="H66" s="5"/>
      <c r="I66" s="5"/>
      <c r="J66" s="108">
        <f>'Enrollment Input'!G45</f>
        <v>0</v>
      </c>
      <c r="K66" s="108"/>
      <c r="L66" s="17" t="s">
        <v>53</v>
      </c>
      <c r="M66" s="13">
        <f>IF(J66=0,0,IF(Q66&lt;1,M18,12))</f>
        <v>0</v>
      </c>
      <c r="N66" s="15" t="s">
        <v>15</v>
      </c>
      <c r="O66" s="13">
        <f>ROUND(IF(J66=0,0,J66/M66),2)</f>
        <v>0</v>
      </c>
      <c r="P66" s="7"/>
      <c r="Q66" s="40">
        <f>ROUND(IF(J66=0,0,J66/12),2)</f>
        <v>0</v>
      </c>
    </row>
    <row r="67" spans="1:17" ht="11.25" customHeight="1" x14ac:dyDescent="0.2">
      <c r="J67" s="26"/>
      <c r="K67" s="26"/>
      <c r="Q67" s="40"/>
    </row>
    <row r="68" spans="1:17" ht="11.25" customHeight="1" x14ac:dyDescent="0.25">
      <c r="B68" s="120" t="str">
        <f>IF('Enrollment Input'!E47=0," ","Summer Alternative Secondary High School")</f>
        <v xml:space="preserve"> </v>
      </c>
      <c r="C68" s="120"/>
      <c r="D68" s="120"/>
      <c r="E68" s="120"/>
      <c r="F68" s="121"/>
      <c r="G68" s="5"/>
      <c r="J68" s="108">
        <f>'Enrollment Input'!E47</f>
        <v>0</v>
      </c>
      <c r="K68" s="108"/>
      <c r="L68" s="17" t="s">
        <v>53</v>
      </c>
      <c r="M68" s="13">
        <f>IF(J68=0,0,40)</f>
        <v>0</v>
      </c>
      <c r="N68" s="15" t="s">
        <v>15</v>
      </c>
      <c r="O68" s="13">
        <f>ROUND(IF(J68=0,0,J68/M68),2)</f>
        <v>0</v>
      </c>
      <c r="P68" s="7"/>
      <c r="Q68" s="40">
        <f>ROUND(IF(J68=0,0,J68/12),2)</f>
        <v>0</v>
      </c>
    </row>
    <row r="69" spans="1:17" ht="13.5" customHeight="1" x14ac:dyDescent="0.25">
      <c r="J69" s="16"/>
      <c r="K69" s="16"/>
      <c r="L69" s="17"/>
      <c r="M69" s="16"/>
      <c r="N69" s="15"/>
      <c r="O69" s="16"/>
      <c r="P69" s="1"/>
      <c r="Q69" s="40"/>
    </row>
    <row r="70" spans="1:17" ht="18.75" customHeight="1" x14ac:dyDescent="0.2">
      <c r="A70" s="7"/>
      <c r="B70" s="12" t="s">
        <v>113</v>
      </c>
      <c r="C70" s="1"/>
      <c r="D70" s="1"/>
      <c r="E70" s="1"/>
      <c r="F70" s="1"/>
      <c r="G70" s="1"/>
      <c r="H70" s="1"/>
      <c r="I70" s="1"/>
      <c r="J70" s="1"/>
      <c r="K70" s="1"/>
      <c r="M70" s="18"/>
      <c r="N70" s="122">
        <f>ROUND(IF(SUM(O7:O68)=0,0,SUM(O7:O68)),2)</f>
        <v>0</v>
      </c>
      <c r="O70" s="122"/>
      <c r="Q70" s="40"/>
    </row>
    <row r="71" spans="1:17" x14ac:dyDescent="0.2">
      <c r="M71" s="118" t="str">
        <f>IF(N70=0," ",IF(N70&lt;'Best 28 With'!N70,"Do Not Use","You May Use this Calculation"))</f>
        <v xml:space="preserve"> </v>
      </c>
      <c r="N71" s="118"/>
      <c r="O71" s="118"/>
      <c r="P71" s="118"/>
    </row>
    <row r="72" spans="1:17" x14ac:dyDescent="0.2">
      <c r="C72" s="10" t="s">
        <v>115</v>
      </c>
      <c r="N72" s="115"/>
      <c r="O72" s="116"/>
    </row>
    <row r="73" spans="1:17" x14ac:dyDescent="0.2">
      <c r="N73" s="18"/>
      <c r="O73" s="18"/>
    </row>
    <row r="74" spans="1:17" ht="15.75" thickBot="1" x14ac:dyDescent="0.25">
      <c r="B74" s="1" t="s">
        <v>114</v>
      </c>
      <c r="N74" s="114">
        <f>N70-(N70*N72)</f>
        <v>0</v>
      </c>
      <c r="O74" s="114"/>
    </row>
    <row r="75" spans="1:17" ht="13.5" thickTop="1" x14ac:dyDescent="0.2"/>
  </sheetData>
  <sheetProtection algorithmName="SHA-512" hashValue="j0FVhb8OPMSJbeQg7XRjbhuv2yfUl55OxNri6T/ZieF7OyWRuEF+Zq82YewOu4ssnyvs7JU3AvH4o+2ONM4cbw==" saltValue="02M5xSBQOhKyv0Eeumy50Q==" spinCount="100000" sheet="1" objects="1" scenarios="1"/>
  <mergeCells count="55">
    <mergeCell ref="N72:O72"/>
    <mergeCell ref="N74:O74"/>
    <mergeCell ref="N70:O70"/>
    <mergeCell ref="B56:E56"/>
    <mergeCell ref="J56:K56"/>
    <mergeCell ref="B68:F68"/>
    <mergeCell ref="J68:K68"/>
    <mergeCell ref="B66:F66"/>
    <mergeCell ref="M71:P71"/>
    <mergeCell ref="B63:E63"/>
    <mergeCell ref="J63:K63"/>
    <mergeCell ref="B61:E61"/>
    <mergeCell ref="J61:K61"/>
    <mergeCell ref="J66:K66"/>
    <mergeCell ref="B60:E60"/>
    <mergeCell ref="B58:E58"/>
    <mergeCell ref="J60:K60"/>
    <mergeCell ref="B44:E44"/>
    <mergeCell ref="J44:K44"/>
    <mergeCell ref="B46:E46"/>
    <mergeCell ref="J46:K46"/>
    <mergeCell ref="B48:E48"/>
    <mergeCell ref="J48:K48"/>
    <mergeCell ref="B50:E50"/>
    <mergeCell ref="J50:K50"/>
    <mergeCell ref="B52:E52"/>
    <mergeCell ref="J52:K52"/>
    <mergeCell ref="B36:E36"/>
    <mergeCell ref="J16:K16"/>
    <mergeCell ref="J26:K26"/>
    <mergeCell ref="B42:E42"/>
    <mergeCell ref="J58:K58"/>
    <mergeCell ref="B54:E54"/>
    <mergeCell ref="J54:K54"/>
    <mergeCell ref="J42:K42"/>
    <mergeCell ref="J28:K28"/>
    <mergeCell ref="J34:K34"/>
    <mergeCell ref="J40:K40"/>
    <mergeCell ref="J38:K38"/>
    <mergeCell ref="A1:O1"/>
    <mergeCell ref="A2:O2"/>
    <mergeCell ref="B38:E38"/>
    <mergeCell ref="B40:E40"/>
    <mergeCell ref="J18:K18"/>
    <mergeCell ref="B31:E31"/>
    <mergeCell ref="J30:K30"/>
    <mergeCell ref="J22:K22"/>
    <mergeCell ref="J24:K24"/>
    <mergeCell ref="J5:K5"/>
    <mergeCell ref="J11:K11"/>
    <mergeCell ref="J7:K7"/>
    <mergeCell ref="J36:K36"/>
    <mergeCell ref="J13:K13"/>
    <mergeCell ref="A3:O3"/>
    <mergeCell ref="B34:E34"/>
  </mergeCells>
  <phoneticPr fontId="0" type="noConversion"/>
  <conditionalFormatting sqref="M71:P71">
    <cfRule type="cellIs" dxfId="2" priority="1" stopIfTrue="1" operator="equal">
      <formula>"Do Not Use"</formula>
    </cfRule>
    <cfRule type="cellIs" dxfId="1" priority="2" stopIfTrue="1" operator="equal">
      <formula>"You May Use this Calculation"</formula>
    </cfRule>
  </conditionalFormatting>
  <conditionalFormatting sqref="M16 M36 M42 M48 M54">
    <cfRule type="cellIs" dxfId="0" priority="3" stopIfTrue="1" operator="equal">
      <formula>16.5</formula>
    </cfRule>
  </conditionalFormatting>
  <pageMargins left="0.75" right="0.75" top="1" bottom="1" header="0.5" footer="0.5"/>
  <pageSetup scale="72" orientation="portrait" r:id="rId1"/>
  <headerFooter alignWithMargins="0">
    <oddFooter>&amp;L&amp;F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7"/>
  <sheetViews>
    <sheetView showGridLines="0" zoomScaleNormal="100" workbookViewId="0"/>
  </sheetViews>
  <sheetFormatPr defaultRowHeight="12.75" x14ac:dyDescent="0.2"/>
  <cols>
    <col min="1" max="1" width="6" style="3" customWidth="1"/>
    <col min="2" max="2" width="9.140625" customWidth="1"/>
    <col min="6" max="6" width="17.140625" customWidth="1"/>
    <col min="7" max="7" width="2.7109375" style="3" customWidth="1"/>
    <col min="10" max="10" width="6.5703125" customWidth="1"/>
    <col min="11" max="11" width="10.28515625" bestFit="1" customWidth="1"/>
  </cols>
  <sheetData>
    <row r="1" spans="1:11" ht="15.75" x14ac:dyDescent="0.25">
      <c r="I1" s="2"/>
      <c r="K1" s="2" t="s">
        <v>4</v>
      </c>
    </row>
    <row r="3" spans="1:11" ht="15.75" x14ac:dyDescent="0.2">
      <c r="A3" s="110" t="s">
        <v>108</v>
      </c>
      <c r="B3" s="110"/>
      <c r="C3" s="110"/>
      <c r="D3" s="110"/>
      <c r="E3" s="110"/>
      <c r="F3" s="110"/>
      <c r="G3" s="110"/>
      <c r="H3" s="110"/>
      <c r="I3" s="110"/>
      <c r="J3" s="121"/>
      <c r="K3" s="121"/>
    </row>
    <row r="5" spans="1:11" ht="15.75" x14ac:dyDescent="0.2">
      <c r="A5" s="110" t="s">
        <v>0</v>
      </c>
      <c r="B5" s="110"/>
      <c r="C5" s="110"/>
      <c r="D5" s="110"/>
      <c r="E5" s="110"/>
      <c r="F5" s="110"/>
      <c r="G5" s="110"/>
      <c r="H5" s="110"/>
      <c r="I5" s="110"/>
      <c r="J5" s="123"/>
      <c r="K5" s="121"/>
    </row>
    <row r="6" spans="1:11" x14ac:dyDescent="0.2">
      <c r="K6" t="s">
        <v>16</v>
      </c>
    </row>
    <row r="7" spans="1:11" x14ac:dyDescent="0.2">
      <c r="K7" t="s">
        <v>17</v>
      </c>
    </row>
    <row r="8" spans="1:11" ht="15.75" x14ac:dyDescent="0.25">
      <c r="A8" s="4" t="s">
        <v>1</v>
      </c>
    </row>
    <row r="9" spans="1:11" ht="8.25" customHeight="1" x14ac:dyDescent="0.25">
      <c r="A9" s="4"/>
    </row>
    <row r="10" spans="1:11" ht="15" x14ac:dyDescent="0.2">
      <c r="A10" s="7" t="s">
        <v>2</v>
      </c>
      <c r="B10" s="1" t="s">
        <v>109</v>
      </c>
      <c r="C10" s="1"/>
      <c r="D10" s="1"/>
      <c r="E10" s="1"/>
      <c r="F10" s="1"/>
      <c r="G10" s="7" t="s">
        <v>15</v>
      </c>
      <c r="H10" s="124">
        <f>IF('Enrollment Input'!C14+'Enrollment Input'!C17=0,0,SUM('Enrollment Input'!C14+'Enrollment Input'!C17))</f>
        <v>0</v>
      </c>
      <c r="I10" s="124"/>
      <c r="J10" s="8"/>
      <c r="K10" s="20">
        <f>IF(H10=0,0,(H10/($H$10+$H$13)))</f>
        <v>0</v>
      </c>
    </row>
    <row r="11" spans="1:11" ht="7.5" customHeight="1" x14ac:dyDescent="0.2">
      <c r="H11" s="21"/>
      <c r="I11" s="21"/>
    </row>
    <row r="12" spans="1:11" s="1" customFormat="1" ht="15" x14ac:dyDescent="0.2">
      <c r="A12" s="7" t="s">
        <v>3</v>
      </c>
      <c r="B12" s="1" t="s">
        <v>110</v>
      </c>
      <c r="G12" s="7"/>
      <c r="H12" s="22"/>
      <c r="I12" s="22"/>
    </row>
    <row r="13" spans="1:11" ht="15" x14ac:dyDescent="0.2">
      <c r="B13" s="10" t="s">
        <v>5</v>
      </c>
      <c r="G13" s="3" t="s">
        <v>15</v>
      </c>
      <c r="H13" s="124">
        <f>IF('Enrollment Input'!C18=0,0,SUM('Enrollment Input'!C18))</f>
        <v>0</v>
      </c>
      <c r="I13" s="124"/>
      <c r="J13" s="5"/>
      <c r="K13" s="20">
        <f>IF(H13=0,0,(H13/($H$10+$H$13)))</f>
        <v>0</v>
      </c>
    </row>
    <row r="14" spans="1:11" ht="6.75" customHeight="1" x14ac:dyDescent="0.2">
      <c r="H14" s="21"/>
      <c r="I14" s="21"/>
    </row>
    <row r="15" spans="1:11" s="1" customFormat="1" ht="15" x14ac:dyDescent="0.2">
      <c r="A15" s="7" t="s">
        <v>6</v>
      </c>
      <c r="B15" s="1" t="s">
        <v>7</v>
      </c>
      <c r="G15" s="7"/>
      <c r="H15" s="22"/>
      <c r="I15" s="22"/>
    </row>
    <row r="16" spans="1:11" s="1" customFormat="1" ht="15" x14ac:dyDescent="0.2">
      <c r="A16" s="7"/>
      <c r="B16" s="1" t="s">
        <v>8</v>
      </c>
      <c r="G16" s="7" t="s">
        <v>15</v>
      </c>
      <c r="H16" s="125">
        <f>IF('Enrollment Input'!C57=0,0,SUM('Enrollment Input'!C57))</f>
        <v>0</v>
      </c>
      <c r="I16" s="125"/>
      <c r="J16" s="8"/>
      <c r="K16" s="9"/>
    </row>
    <row r="17" spans="1:11" ht="6.75" customHeight="1" x14ac:dyDescent="0.2">
      <c r="H17" s="21"/>
      <c r="I17" s="21"/>
      <c r="K17" s="6"/>
    </row>
    <row r="18" spans="1:11" s="1" customFormat="1" ht="15" x14ac:dyDescent="0.2">
      <c r="A18" s="7" t="s">
        <v>9</v>
      </c>
      <c r="B18" s="1" t="s">
        <v>10</v>
      </c>
      <c r="G18" s="7" t="s">
        <v>15</v>
      </c>
      <c r="H18" s="124">
        <f>H10+H13-H16</f>
        <v>0</v>
      </c>
      <c r="I18" s="124"/>
      <c r="J18" s="8"/>
      <c r="K18" s="9"/>
    </row>
    <row r="19" spans="1:11" ht="6.75" customHeight="1" x14ac:dyDescent="0.2">
      <c r="H19" s="26"/>
      <c r="I19" s="26"/>
      <c r="K19" s="6"/>
    </row>
    <row r="20" spans="1:11" s="1" customFormat="1" ht="15" x14ac:dyDescent="0.2">
      <c r="A20" s="7" t="s">
        <v>11</v>
      </c>
      <c r="B20" s="1" t="s">
        <v>12</v>
      </c>
      <c r="G20" s="7" t="s">
        <v>15</v>
      </c>
      <c r="H20" s="124">
        <f>H18*0.06</f>
        <v>0</v>
      </c>
      <c r="I20" s="124"/>
      <c r="J20" s="8"/>
      <c r="K20" s="9"/>
    </row>
    <row r="21" spans="1:11" ht="6.75" customHeight="1" x14ac:dyDescent="0.2">
      <c r="H21" s="26"/>
      <c r="I21" s="26"/>
      <c r="K21" s="6"/>
    </row>
    <row r="22" spans="1:11" s="1" customFormat="1" ht="15" x14ac:dyDescent="0.2">
      <c r="A22" s="7" t="s">
        <v>13</v>
      </c>
      <c r="B22" s="1" t="s">
        <v>54</v>
      </c>
      <c r="G22" s="7" t="s">
        <v>15</v>
      </c>
      <c r="H22" s="124">
        <f>H16+H20</f>
        <v>0</v>
      </c>
      <c r="I22" s="124"/>
      <c r="J22" s="8"/>
      <c r="K22" s="9"/>
    </row>
    <row r="23" spans="1:11" s="1" customFormat="1" ht="15" x14ac:dyDescent="0.2">
      <c r="A23" s="7"/>
      <c r="B23" s="1" t="s">
        <v>14</v>
      </c>
      <c r="G23" s="7"/>
      <c r="H23" s="22"/>
      <c r="I23" s="22"/>
    </row>
    <row r="24" spans="1:11" s="1" customFormat="1" ht="15" x14ac:dyDescent="0.2">
      <c r="A24" s="7"/>
      <c r="G24" s="7"/>
      <c r="H24" s="22"/>
      <c r="I24" s="22"/>
    </row>
    <row r="25" spans="1:11" s="1" customFormat="1" ht="15" x14ac:dyDescent="0.2">
      <c r="A25" s="7" t="s">
        <v>67</v>
      </c>
      <c r="B25" s="23">
        <f>K10</f>
        <v>0</v>
      </c>
      <c r="C25" s="24" t="s">
        <v>65</v>
      </c>
      <c r="D25" s="25">
        <f>H22</f>
        <v>0</v>
      </c>
      <c r="E25" s="1" t="s">
        <v>66</v>
      </c>
      <c r="G25" s="7" t="s">
        <v>15</v>
      </c>
      <c r="H25" s="124">
        <f>ROUND(SUM(B25*D25),2)</f>
        <v>0</v>
      </c>
      <c r="I25" s="124"/>
    </row>
    <row r="26" spans="1:11" s="1" customFormat="1" ht="15" x14ac:dyDescent="0.2">
      <c r="A26" s="7" t="s">
        <v>68</v>
      </c>
      <c r="B26" s="23">
        <f>K13</f>
        <v>0</v>
      </c>
      <c r="C26" s="24" t="s">
        <v>65</v>
      </c>
      <c r="D26" s="25">
        <f>H22</f>
        <v>0</v>
      </c>
      <c r="E26" s="1" t="s">
        <v>64</v>
      </c>
      <c r="G26" s="7" t="s">
        <v>15</v>
      </c>
      <c r="H26" s="126">
        <f>ROUND(SUM(H22-H25),2)</f>
        <v>0</v>
      </c>
      <c r="I26" s="126"/>
    </row>
    <row r="27" spans="1:11" s="1" customFormat="1" ht="15" x14ac:dyDescent="0.2">
      <c r="A27" s="7"/>
      <c r="G27" s="7"/>
      <c r="H27" s="22"/>
      <c r="I27" s="22"/>
    </row>
    <row r="28" spans="1:11" ht="15.75" x14ac:dyDescent="0.25">
      <c r="A28" s="4" t="s">
        <v>18</v>
      </c>
      <c r="H28" s="21"/>
      <c r="I28" s="21"/>
    </row>
    <row r="29" spans="1:11" ht="6.75" customHeight="1" x14ac:dyDescent="0.2">
      <c r="H29" s="21"/>
      <c r="I29" s="21"/>
    </row>
    <row r="30" spans="1:11" s="1" customFormat="1" ht="15" x14ac:dyDescent="0.2">
      <c r="A30" s="7" t="s">
        <v>19</v>
      </c>
      <c r="B30" s="1" t="s">
        <v>111</v>
      </c>
      <c r="G30" s="7"/>
      <c r="H30" s="22"/>
      <c r="I30" s="22"/>
    </row>
    <row r="31" spans="1:11" s="1" customFormat="1" ht="15" x14ac:dyDescent="0.2">
      <c r="A31" s="7"/>
      <c r="B31" s="1" t="s">
        <v>20</v>
      </c>
      <c r="G31" s="7" t="s">
        <v>15</v>
      </c>
      <c r="H31" s="124">
        <f>IF('Enrollment Input'!$C$20=0,0,'Enrollment Input'!C20)</f>
        <v>0</v>
      </c>
      <c r="I31" s="124"/>
    </row>
    <row r="32" spans="1:11" s="1" customFormat="1" ht="15" x14ac:dyDescent="0.2">
      <c r="A32" s="7"/>
      <c r="B32" s="10" t="s">
        <v>21</v>
      </c>
      <c r="G32" s="7"/>
      <c r="H32" s="22"/>
      <c r="I32" s="22"/>
    </row>
    <row r="33" spans="1:9" s="1" customFormat="1" ht="15" x14ac:dyDescent="0.2">
      <c r="A33" s="7"/>
      <c r="B33" s="10" t="s">
        <v>22</v>
      </c>
      <c r="G33" s="7"/>
      <c r="H33" s="22"/>
      <c r="I33" s="22"/>
    </row>
    <row r="34" spans="1:9" ht="6.75" customHeight="1" x14ac:dyDescent="0.2">
      <c r="H34" s="21"/>
      <c r="I34" s="21"/>
    </row>
    <row r="35" spans="1:9" s="1" customFormat="1" ht="15" x14ac:dyDescent="0.2">
      <c r="A35" s="7" t="s">
        <v>23</v>
      </c>
      <c r="B35" s="1" t="s">
        <v>58</v>
      </c>
      <c r="G35" s="7"/>
      <c r="H35" s="22"/>
      <c r="I35" s="22"/>
    </row>
    <row r="36" spans="1:9" s="1" customFormat="1" ht="15" x14ac:dyDescent="0.2">
      <c r="A36" s="7"/>
      <c r="B36" s="1" t="s">
        <v>55</v>
      </c>
      <c r="G36" s="7"/>
      <c r="H36" s="22"/>
      <c r="I36" s="22"/>
    </row>
    <row r="37" spans="1:9" s="1" customFormat="1" ht="15" x14ac:dyDescent="0.2">
      <c r="A37" s="7"/>
      <c r="B37" s="10" t="s">
        <v>24</v>
      </c>
      <c r="G37" s="7" t="s">
        <v>15</v>
      </c>
      <c r="H37" s="124">
        <f>IF('Enrollment Input'!C58=0,0,SUM('Enrollment Input'!C58))</f>
        <v>0</v>
      </c>
      <c r="I37" s="124"/>
    </row>
    <row r="38" spans="1:9" ht="6.75" customHeight="1" x14ac:dyDescent="0.2">
      <c r="H38" s="26"/>
      <c r="I38" s="26"/>
    </row>
    <row r="39" spans="1:9" s="1" customFormat="1" ht="15" x14ac:dyDescent="0.2">
      <c r="A39" s="7" t="s">
        <v>25</v>
      </c>
      <c r="B39" s="1" t="s">
        <v>26</v>
      </c>
      <c r="G39" s="7" t="s">
        <v>15</v>
      </c>
      <c r="H39" s="124">
        <f>IF('Enrollment Input'!$C$20+'Enrollment Input'!$C$25=0,0,SUM(H31-H37))</f>
        <v>0</v>
      </c>
      <c r="I39" s="124"/>
    </row>
    <row r="40" spans="1:9" ht="6.75" customHeight="1" x14ac:dyDescent="0.2">
      <c r="H40" s="26"/>
      <c r="I40" s="26"/>
    </row>
    <row r="41" spans="1:9" s="1" customFormat="1" ht="15" x14ac:dyDescent="0.2">
      <c r="A41" s="7" t="s">
        <v>27</v>
      </c>
      <c r="B41" s="1" t="s">
        <v>28</v>
      </c>
      <c r="G41" s="7" t="s">
        <v>15</v>
      </c>
      <c r="H41" s="124">
        <f>IF('Enrollment Input'!$C$20+'Enrollment Input'!$C$25=0,0,H39*0.055)</f>
        <v>0</v>
      </c>
      <c r="I41" s="124"/>
    </row>
    <row r="42" spans="1:9" ht="6.75" customHeight="1" x14ac:dyDescent="0.2">
      <c r="H42" s="26"/>
      <c r="I42" s="26"/>
    </row>
    <row r="43" spans="1:9" s="1" customFormat="1" ht="15" x14ac:dyDescent="0.2">
      <c r="A43" s="7" t="s">
        <v>29</v>
      </c>
      <c r="B43" s="1" t="s">
        <v>30</v>
      </c>
      <c r="G43" s="7" t="s">
        <v>15</v>
      </c>
      <c r="H43" s="124">
        <f>ROUND(IF('Enrollment Input'!$C$20=0,0,SUM(H37+H41)),2)</f>
        <v>0</v>
      </c>
      <c r="I43" s="124"/>
    </row>
    <row r="44" spans="1:9" s="1" customFormat="1" ht="15" x14ac:dyDescent="0.2">
      <c r="A44" s="7"/>
      <c r="B44" s="1" t="s">
        <v>31</v>
      </c>
      <c r="G44" s="7"/>
    </row>
    <row r="46" spans="1:9" ht="15.75" x14ac:dyDescent="0.25">
      <c r="A46" s="4" t="s">
        <v>32</v>
      </c>
    </row>
    <row r="47" spans="1:9" ht="6.75" customHeight="1" x14ac:dyDescent="0.2"/>
    <row r="48" spans="1:9" s="1" customFormat="1" ht="15" x14ac:dyDescent="0.2">
      <c r="A48" s="7" t="s">
        <v>33</v>
      </c>
      <c r="B48" s="1" t="s">
        <v>112</v>
      </c>
      <c r="G48" s="7"/>
    </row>
    <row r="49" spans="1:9" s="1" customFormat="1" ht="15" x14ac:dyDescent="0.2">
      <c r="A49" s="7"/>
      <c r="B49" s="1" t="s">
        <v>56</v>
      </c>
      <c r="G49" s="7"/>
    </row>
    <row r="50" spans="1:9" s="1" customFormat="1" ht="15" x14ac:dyDescent="0.2">
      <c r="A50" s="7"/>
      <c r="B50" s="1" t="s">
        <v>98</v>
      </c>
      <c r="G50" s="7"/>
    </row>
    <row r="51" spans="1:9" s="1" customFormat="1" ht="15" x14ac:dyDescent="0.2">
      <c r="A51" s="7"/>
      <c r="B51" s="1" t="s">
        <v>57</v>
      </c>
      <c r="G51" s="7"/>
    </row>
    <row r="52" spans="1:9" s="1" customFormat="1" ht="15" x14ac:dyDescent="0.2">
      <c r="A52" s="7"/>
      <c r="B52" s="1" t="s">
        <v>34</v>
      </c>
      <c r="G52" s="7"/>
    </row>
    <row r="53" spans="1:9" s="1" customFormat="1" ht="15" x14ac:dyDescent="0.2">
      <c r="A53" s="7"/>
      <c r="B53" s="1" t="s">
        <v>35</v>
      </c>
      <c r="G53" s="7"/>
    </row>
    <row r="54" spans="1:9" ht="6.75" customHeight="1" x14ac:dyDescent="0.2"/>
    <row r="55" spans="1:9" s="1" customFormat="1" ht="15" x14ac:dyDescent="0.2">
      <c r="A55" s="7"/>
      <c r="B55" s="1" t="s">
        <v>36</v>
      </c>
      <c r="G55" s="7" t="s">
        <v>15</v>
      </c>
      <c r="H55" s="125">
        <f>IF('Enrollment Input'!$E$50+'Enrollment Input'!$E$52=0,0,SUM(('Enrollment Input'!E50*'Enrollment Input'!E52)/16))</f>
        <v>0</v>
      </c>
      <c r="I55" s="125"/>
    </row>
    <row r="56" spans="1:9" s="1" customFormat="1" ht="15" x14ac:dyDescent="0.2">
      <c r="A56" s="7"/>
      <c r="B56" s="1" t="s">
        <v>37</v>
      </c>
      <c r="G56" s="7"/>
    </row>
    <row r="57" spans="1:9" s="1" customFormat="1" ht="15" x14ac:dyDescent="0.2">
      <c r="A57" s="7"/>
      <c r="B57" s="1" t="s">
        <v>38</v>
      </c>
      <c r="G57" s="7"/>
    </row>
  </sheetData>
  <sheetProtection algorithmName="SHA-512" hashValue="PCei6szutOoLdJO3i0cgrujplrebfuterRWidbEpRMA2+hTu3VragZPUE0bruYwVHd3x4R3gHokEB7EWbwBIfg==" saltValue="bMS2FELd2ZVLNjqE1oZJCw==" spinCount="100000" sheet="1" objects="1" scenarios="1"/>
  <mergeCells count="16">
    <mergeCell ref="H41:I41"/>
    <mergeCell ref="H43:I43"/>
    <mergeCell ref="H55:I55"/>
    <mergeCell ref="H18:I18"/>
    <mergeCell ref="H20:I20"/>
    <mergeCell ref="H22:I22"/>
    <mergeCell ref="A3:K3"/>
    <mergeCell ref="A5:K5"/>
    <mergeCell ref="H37:I37"/>
    <mergeCell ref="H39:I39"/>
    <mergeCell ref="H10:I10"/>
    <mergeCell ref="H13:I13"/>
    <mergeCell ref="H16:I16"/>
    <mergeCell ref="H31:I31"/>
    <mergeCell ref="H25:I25"/>
    <mergeCell ref="H26:I26"/>
  </mergeCells>
  <phoneticPr fontId="0" type="noConversion"/>
  <pageMargins left="0.75" right="0.75" top="1" bottom="1" header="0.5" footer="0.5"/>
  <pageSetup scale="90" orientation="portrait" r:id="rId1"/>
  <headerFooter alignWithMargins="0">
    <oddFooter>&amp;L&amp;F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1"/>
  <sheetViews>
    <sheetView workbookViewId="0"/>
  </sheetViews>
  <sheetFormatPr defaultRowHeight="12.75" x14ac:dyDescent="0.2"/>
  <cols>
    <col min="1" max="1" width="4.5703125" style="10" customWidth="1"/>
    <col min="2" max="3" width="6.85546875" style="10" customWidth="1"/>
    <col min="4" max="4" width="3.140625" style="10" customWidth="1"/>
    <col min="5" max="5" width="4.28515625" style="10" customWidth="1"/>
    <col min="6" max="6" width="5.42578125" style="10" customWidth="1"/>
    <col min="7" max="7" width="7.7109375" style="10" customWidth="1"/>
    <col min="8" max="8" width="5.140625" style="10" customWidth="1"/>
    <col min="9" max="9" width="7" style="10" customWidth="1"/>
    <col min="10" max="10" width="5.28515625" style="10" customWidth="1"/>
    <col min="11" max="11" width="7" style="10" customWidth="1"/>
    <col min="12" max="12" width="4.140625" style="10" customWidth="1"/>
    <col min="13" max="13" width="6.7109375" style="10" customWidth="1"/>
    <col min="14" max="14" width="5.42578125" style="10" customWidth="1"/>
    <col min="15" max="15" width="7" style="10" customWidth="1"/>
    <col min="16" max="16" width="5.140625" style="10" customWidth="1"/>
    <col min="17" max="17" width="4.85546875" style="10" customWidth="1"/>
    <col min="18" max="18" width="5.85546875" style="10" customWidth="1"/>
    <col min="19" max="19" width="7.42578125" style="10" customWidth="1"/>
    <col min="20" max="20" width="4" style="10" customWidth="1"/>
    <col min="21" max="21" width="6.42578125" style="10" customWidth="1"/>
    <col min="22" max="22" width="5.85546875" style="10" customWidth="1"/>
    <col min="23" max="23" width="6.7109375" style="10" customWidth="1"/>
    <col min="24" max="24" width="4.140625" style="10" customWidth="1"/>
    <col min="25" max="25" width="7.140625" style="10" customWidth="1"/>
    <col min="26" max="28" width="9.140625" style="10" customWidth="1"/>
  </cols>
  <sheetData>
    <row r="1" spans="1:27" x14ac:dyDescent="0.2">
      <c r="A1" s="10" t="s">
        <v>69</v>
      </c>
      <c r="E1" s="10" t="s">
        <v>71</v>
      </c>
      <c r="I1" s="10" t="s">
        <v>73</v>
      </c>
      <c r="M1" s="10" t="s">
        <v>78</v>
      </c>
      <c r="Q1" s="10" t="s">
        <v>18</v>
      </c>
      <c r="U1" s="10" t="s">
        <v>74</v>
      </c>
      <c r="Y1" s="10" t="s">
        <v>81</v>
      </c>
    </row>
    <row r="2" spans="1:27" x14ac:dyDescent="0.2">
      <c r="A2" s="42" t="s">
        <v>70</v>
      </c>
      <c r="B2" s="42" t="s">
        <v>72</v>
      </c>
      <c r="C2" s="42" t="s">
        <v>84</v>
      </c>
      <c r="E2" s="42" t="s">
        <v>70</v>
      </c>
      <c r="F2" s="42" t="s">
        <v>72</v>
      </c>
      <c r="G2" s="42" t="s">
        <v>84</v>
      </c>
      <c r="I2" s="42" t="s">
        <v>70</v>
      </c>
      <c r="J2" s="42" t="s">
        <v>72</v>
      </c>
      <c r="K2" s="42" t="s">
        <v>84</v>
      </c>
      <c r="M2" s="42" t="s">
        <v>70</v>
      </c>
      <c r="N2" s="42" t="s">
        <v>72</v>
      </c>
      <c r="O2" s="42" t="s">
        <v>84</v>
      </c>
      <c r="P2" s="42"/>
      <c r="Q2" s="42" t="s">
        <v>70</v>
      </c>
      <c r="R2" s="42" t="s">
        <v>72</v>
      </c>
      <c r="S2" s="42" t="s">
        <v>84</v>
      </c>
      <c r="U2" s="42" t="s">
        <v>70</v>
      </c>
      <c r="V2" s="42" t="s">
        <v>72</v>
      </c>
      <c r="W2" s="42" t="s">
        <v>84</v>
      </c>
      <c r="Y2" s="42" t="s">
        <v>82</v>
      </c>
      <c r="Z2" s="42" t="s">
        <v>83</v>
      </c>
      <c r="AA2" s="42" t="s">
        <v>84</v>
      </c>
    </row>
    <row r="3" spans="1:27" x14ac:dyDescent="0.2">
      <c r="A3" s="43">
        <v>0</v>
      </c>
      <c r="B3" s="43">
        <v>0</v>
      </c>
      <c r="C3" s="43">
        <v>0</v>
      </c>
      <c r="E3" s="43">
        <v>0</v>
      </c>
      <c r="F3" s="43">
        <v>0</v>
      </c>
      <c r="G3" s="43">
        <v>0</v>
      </c>
      <c r="I3" s="43">
        <v>0</v>
      </c>
      <c r="J3" s="43">
        <v>0</v>
      </c>
      <c r="K3" s="43">
        <v>0</v>
      </c>
      <c r="M3" s="43">
        <v>0</v>
      </c>
      <c r="N3" s="43">
        <v>0</v>
      </c>
      <c r="O3" s="43">
        <v>0</v>
      </c>
      <c r="P3" s="42"/>
      <c r="Q3" s="43">
        <v>0</v>
      </c>
      <c r="R3" s="43">
        <v>0</v>
      </c>
      <c r="S3" s="43">
        <v>0</v>
      </c>
      <c r="U3" s="43">
        <v>0</v>
      </c>
      <c r="V3" s="43">
        <v>0</v>
      </c>
      <c r="W3" s="43">
        <v>0</v>
      </c>
      <c r="Y3" s="43">
        <v>8</v>
      </c>
      <c r="Z3" s="43">
        <v>16</v>
      </c>
      <c r="AA3" s="43">
        <v>0</v>
      </c>
    </row>
    <row r="4" spans="1:27" x14ac:dyDescent="0.2">
      <c r="A4" s="10">
        <v>1</v>
      </c>
      <c r="B4" s="10">
        <v>0</v>
      </c>
      <c r="C4" s="10">
        <v>0</v>
      </c>
      <c r="E4" s="10">
        <v>1</v>
      </c>
      <c r="F4" s="10">
        <v>12</v>
      </c>
      <c r="G4" s="10">
        <v>1</v>
      </c>
      <c r="I4" s="10">
        <v>1</v>
      </c>
      <c r="J4" s="10">
        <v>12</v>
      </c>
      <c r="K4" s="10">
        <v>1</v>
      </c>
      <c r="M4" s="10">
        <v>1</v>
      </c>
      <c r="N4" s="10">
        <v>16.5</v>
      </c>
      <c r="O4" s="10">
        <v>1</v>
      </c>
      <c r="Q4" s="10">
        <v>1</v>
      </c>
      <c r="R4" s="10">
        <v>12</v>
      </c>
      <c r="S4" s="10">
        <v>0</v>
      </c>
      <c r="U4" s="10">
        <v>1</v>
      </c>
      <c r="V4" s="10">
        <v>14.5</v>
      </c>
      <c r="W4" s="10">
        <v>0.25</v>
      </c>
      <c r="Y4" s="10">
        <v>9</v>
      </c>
      <c r="Z4" s="10">
        <v>14</v>
      </c>
      <c r="AA4" s="10">
        <v>0</v>
      </c>
    </row>
    <row r="5" spans="1:27" x14ac:dyDescent="0.2">
      <c r="A5" s="10">
        <v>8</v>
      </c>
      <c r="B5" s="10">
        <v>40</v>
      </c>
      <c r="C5" s="10">
        <v>0.5</v>
      </c>
      <c r="E5" s="10">
        <v>16.600000000000001</v>
      </c>
      <c r="F5" s="10">
        <v>12</v>
      </c>
      <c r="G5" s="10">
        <v>1.4</v>
      </c>
      <c r="I5" s="10">
        <v>16.600000000000001</v>
      </c>
      <c r="J5" s="10">
        <v>12</v>
      </c>
      <c r="K5" s="10">
        <v>1.4</v>
      </c>
      <c r="M5" s="10">
        <v>16.600000000000001</v>
      </c>
      <c r="N5" s="10">
        <v>12</v>
      </c>
      <c r="O5" s="10">
        <v>1.4</v>
      </c>
      <c r="Q5" s="10">
        <v>100</v>
      </c>
      <c r="R5" s="10">
        <v>12</v>
      </c>
      <c r="S5" s="10">
        <v>9</v>
      </c>
      <c r="U5" s="10">
        <v>4</v>
      </c>
      <c r="V5" s="10">
        <v>14.5</v>
      </c>
      <c r="W5" s="10">
        <v>0.5</v>
      </c>
      <c r="Y5" s="10">
        <v>12</v>
      </c>
      <c r="Z5" s="10">
        <v>0</v>
      </c>
      <c r="AA5" s="10">
        <v>8</v>
      </c>
    </row>
    <row r="6" spans="1:27" x14ac:dyDescent="0.2">
      <c r="A6" s="10">
        <v>16</v>
      </c>
      <c r="B6" s="10">
        <v>40</v>
      </c>
      <c r="C6" s="10">
        <v>0.6</v>
      </c>
      <c r="E6" s="10">
        <v>33.6</v>
      </c>
      <c r="F6" s="10">
        <v>13</v>
      </c>
      <c r="G6" s="10">
        <v>2.8</v>
      </c>
      <c r="I6" s="10">
        <v>33.6</v>
      </c>
      <c r="J6" s="10">
        <v>13</v>
      </c>
      <c r="K6" s="10">
        <v>2.8</v>
      </c>
      <c r="M6" s="10">
        <v>33.6</v>
      </c>
      <c r="N6" s="10">
        <v>13</v>
      </c>
      <c r="O6" s="10">
        <v>2.8</v>
      </c>
      <c r="Q6" s="10">
        <v>200</v>
      </c>
      <c r="R6" s="10">
        <v>13.5</v>
      </c>
      <c r="S6" s="10">
        <v>17</v>
      </c>
      <c r="U6" s="10">
        <v>8</v>
      </c>
      <c r="V6" s="10">
        <v>14.5</v>
      </c>
      <c r="W6" s="10">
        <v>0.75</v>
      </c>
    </row>
    <row r="7" spans="1:27" x14ac:dyDescent="0.2">
      <c r="A7" s="10">
        <v>21</v>
      </c>
      <c r="B7" s="10">
        <v>40</v>
      </c>
      <c r="C7" s="10">
        <v>0.75</v>
      </c>
      <c r="E7" s="10">
        <v>51.7</v>
      </c>
      <c r="F7" s="10">
        <v>15</v>
      </c>
      <c r="G7" s="10">
        <v>4</v>
      </c>
      <c r="I7" s="10">
        <v>51.7</v>
      </c>
      <c r="J7" s="10">
        <v>15</v>
      </c>
      <c r="K7" s="10">
        <v>4</v>
      </c>
      <c r="M7" s="10">
        <v>51.7</v>
      </c>
      <c r="N7" s="10">
        <v>15</v>
      </c>
      <c r="O7" s="10">
        <v>4</v>
      </c>
      <c r="Q7" s="10">
        <v>300</v>
      </c>
      <c r="R7" s="10">
        <v>14.5</v>
      </c>
      <c r="S7" s="10">
        <v>22</v>
      </c>
      <c r="U7" s="10">
        <v>12</v>
      </c>
      <c r="V7" s="10">
        <v>14.5</v>
      </c>
      <c r="W7" s="10">
        <v>1</v>
      </c>
    </row>
    <row r="8" spans="1:27" x14ac:dyDescent="0.2">
      <c r="A8" s="10">
        <v>26</v>
      </c>
      <c r="B8" s="10">
        <v>40</v>
      </c>
      <c r="C8" s="10">
        <v>0.85</v>
      </c>
      <c r="E8" s="10">
        <v>71.099999999999994</v>
      </c>
      <c r="F8" s="10">
        <v>16</v>
      </c>
      <c r="G8" s="10">
        <v>4.7</v>
      </c>
      <c r="I8" s="10">
        <v>71.099999999999994</v>
      </c>
      <c r="J8" s="10">
        <v>16</v>
      </c>
      <c r="K8" s="10">
        <v>4.7</v>
      </c>
      <c r="M8" s="10">
        <v>71.099999999999994</v>
      </c>
      <c r="N8" s="10">
        <v>16</v>
      </c>
      <c r="O8" s="10">
        <v>4.7</v>
      </c>
      <c r="Q8" s="10">
        <v>400</v>
      </c>
      <c r="R8" s="10">
        <v>16</v>
      </c>
      <c r="S8" s="10">
        <v>28</v>
      </c>
      <c r="U8" s="10">
        <v>14</v>
      </c>
      <c r="V8" s="10">
        <v>14.5</v>
      </c>
      <c r="W8" s="10">
        <v>1</v>
      </c>
    </row>
    <row r="9" spans="1:27" x14ac:dyDescent="0.2">
      <c r="A9" s="10">
        <v>31</v>
      </c>
      <c r="B9" s="10">
        <v>40</v>
      </c>
      <c r="C9" s="10">
        <v>1</v>
      </c>
      <c r="E9" s="10">
        <v>110</v>
      </c>
      <c r="F9" s="10">
        <v>19</v>
      </c>
      <c r="G9" s="10">
        <v>6.8</v>
      </c>
      <c r="I9" s="10">
        <v>110</v>
      </c>
      <c r="J9" s="10">
        <v>19</v>
      </c>
      <c r="K9" s="10">
        <v>6.8</v>
      </c>
      <c r="M9" s="10">
        <v>110</v>
      </c>
      <c r="N9" s="10">
        <v>19</v>
      </c>
      <c r="O9" s="10">
        <v>6.8</v>
      </c>
      <c r="Q9" s="10">
        <v>750</v>
      </c>
      <c r="R9" s="10">
        <v>18.5</v>
      </c>
      <c r="S9" s="10">
        <v>47</v>
      </c>
    </row>
    <row r="10" spans="1:27" x14ac:dyDescent="0.2">
      <c r="A10" s="10">
        <v>41</v>
      </c>
      <c r="B10" s="10">
        <v>40</v>
      </c>
      <c r="C10" s="10">
        <v>1</v>
      </c>
      <c r="E10" s="10">
        <v>160</v>
      </c>
      <c r="F10" s="10">
        <v>20</v>
      </c>
      <c r="G10" s="10">
        <v>8.4</v>
      </c>
      <c r="I10" s="10">
        <v>160</v>
      </c>
      <c r="J10" s="10">
        <v>20</v>
      </c>
      <c r="K10" s="10">
        <v>8.4</v>
      </c>
      <c r="M10" s="10">
        <v>160</v>
      </c>
      <c r="N10" s="10">
        <v>20</v>
      </c>
      <c r="O10" s="10">
        <v>8.4</v>
      </c>
    </row>
    <row r="11" spans="1:27" x14ac:dyDescent="0.2">
      <c r="E11" s="10">
        <v>300</v>
      </c>
      <c r="F11" s="10">
        <v>20</v>
      </c>
      <c r="G11" s="10">
        <v>15</v>
      </c>
      <c r="I11" s="10">
        <v>300</v>
      </c>
      <c r="J11" s="10">
        <v>23</v>
      </c>
      <c r="K11" s="10">
        <v>15</v>
      </c>
      <c r="M11" s="10">
        <v>300</v>
      </c>
      <c r="N11" s="10">
        <v>23</v>
      </c>
      <c r="O11" s="10">
        <v>15</v>
      </c>
    </row>
  </sheetData>
  <phoneticPr fontId="0" type="noConversion"/>
  <pageMargins left="0.75" right="0.75" top="1" bottom="1" header="0.5" footer="0.5"/>
  <pageSetup orientation="portrait"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Enrollment Input</vt:lpstr>
      <vt:lpstr>Attendance % Assistance</vt:lpstr>
      <vt:lpstr>Midterm With</vt:lpstr>
      <vt:lpstr>Midterm Without</vt:lpstr>
      <vt:lpstr>Best 28 With</vt:lpstr>
      <vt:lpstr>Best 28 Without</vt:lpstr>
      <vt:lpstr>Exceptional Child Calc</vt:lpstr>
      <vt:lpstr>criteria</vt:lpstr>
      <vt:lpstr>criteria!Criteria</vt:lpstr>
      <vt:lpstr>criteria!Extract</vt:lpstr>
      <vt:lpstr>'Best 28 With'!Print_Area</vt:lpstr>
      <vt:lpstr>'Best 28 Without'!Print_Area</vt:lpstr>
      <vt:lpstr>'Enrollment Input'!Print_Area</vt:lpstr>
      <vt:lpstr>'Midterm With'!Print_Area</vt:lpstr>
      <vt:lpstr>'Midterm Without'!Print_Area</vt:lpstr>
    </vt:vector>
  </TitlesOfParts>
  <Company>jj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Form unit template</dc:title>
  <dc:creator>gberg</dc:creator>
  <cp:keywords>Budget Form</cp:keywords>
  <cp:lastModifiedBy>Dean Reich</cp:lastModifiedBy>
  <cp:lastPrinted>2023-03-15T19:15:46Z</cp:lastPrinted>
  <dcterms:created xsi:type="dcterms:W3CDTF">2003-05-07T20:27:16Z</dcterms:created>
  <dcterms:modified xsi:type="dcterms:W3CDTF">2023-06-01T15:57:30Z</dcterms:modified>
</cp:coreProperties>
</file>