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4\Aaron\"/>
    </mc:Choice>
  </mc:AlternateContent>
  <xr:revisionPtr revIDLastSave="0" documentId="13_ncr:1_{75815F53-4851-4C54-9D79-3EF75FBD885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2023-2024 Other State Funding" sheetId="2" r:id="rId1"/>
    <sheet name="School Numbers" sheetId="3" r:id="rId2"/>
  </sheets>
  <externalReferences>
    <externalReference r:id="rId3"/>
  </externalReferences>
  <definedNames>
    <definedName name="_xlnm._FilterDatabase" localSheetId="1" hidden="1">'School Numbers'!$A$7:$W$195</definedName>
    <definedName name="_xlnm.Print_Area" localSheetId="0">'2023-2024 Other State Funding'!$A$1:$Q$47</definedName>
    <definedName name="_xlnm.Print_Area" localSheetId="1">'School Numbers'!$C$4:$D$195</definedName>
  </definedNames>
  <calcPr calcId="191029"/>
</workbook>
</file>

<file path=xl/calcChain.xml><?xml version="1.0" encoding="utf-8"?>
<calcChain xmlns="http://schemas.openxmlformats.org/spreadsheetml/2006/main">
  <c r="G31" i="2" l="1"/>
  <c r="G36" i="2" s="1"/>
  <c r="L36" i="2"/>
  <c r="L35" i="2"/>
  <c r="L31" i="2"/>
  <c r="L30" i="2"/>
  <c r="G30" i="2"/>
  <c r="G35" i="2" s="1"/>
  <c r="L26" i="2"/>
  <c r="L25" i="2"/>
  <c r="D8" i="2"/>
  <c r="G17" i="2"/>
  <c r="G16" i="2"/>
  <c r="G26" i="2"/>
  <c r="G25" i="2"/>
  <c r="L194" i="3"/>
  <c r="L193" i="3"/>
  <c r="L192" i="3"/>
  <c r="L191" i="3"/>
  <c r="L190" i="3"/>
  <c r="L189" i="3"/>
  <c r="L188" i="3"/>
  <c r="L187" i="3"/>
  <c r="L186" i="3"/>
  <c r="L185" i="3"/>
  <c r="L184" i="3"/>
  <c r="L182" i="3"/>
  <c r="L180" i="3"/>
  <c r="L179" i="3"/>
  <c r="L178" i="3"/>
  <c r="L177" i="3"/>
  <c r="L176" i="3"/>
  <c r="L175" i="3"/>
  <c r="L174" i="3"/>
  <c r="L173" i="3"/>
  <c r="L170" i="3"/>
  <c r="L169" i="3"/>
  <c r="L168" i="3"/>
  <c r="L166" i="3"/>
  <c r="L165" i="3"/>
  <c r="L163" i="3"/>
  <c r="L161" i="3"/>
  <c r="L160" i="3"/>
  <c r="L159" i="3"/>
  <c r="L158" i="3"/>
  <c r="L157" i="3"/>
  <c r="L156" i="3"/>
  <c r="L155" i="3"/>
  <c r="L152" i="3"/>
  <c r="L151" i="3"/>
  <c r="L150" i="3"/>
  <c r="L147" i="3"/>
  <c r="L142" i="3"/>
  <c r="L141" i="3"/>
  <c r="L140" i="3"/>
  <c r="L138" i="3"/>
  <c r="L137" i="3"/>
  <c r="L136" i="3"/>
  <c r="L134" i="3"/>
  <c r="L133" i="3"/>
  <c r="L132" i="3"/>
  <c r="L131" i="3"/>
  <c r="L130" i="3"/>
  <c r="L129" i="3"/>
  <c r="L128" i="3"/>
  <c r="L127" i="3"/>
  <c r="L126" i="3"/>
  <c r="L125" i="3"/>
  <c r="L124" i="3"/>
  <c r="L120" i="3"/>
  <c r="L119" i="3"/>
  <c r="L118" i="3"/>
  <c r="L114" i="3"/>
  <c r="L113" i="3"/>
  <c r="L112" i="3"/>
  <c r="L111" i="3"/>
  <c r="L110" i="3"/>
  <c r="L108" i="3"/>
  <c r="L107" i="3"/>
  <c r="L106" i="3"/>
  <c r="L93" i="3"/>
  <c r="L92" i="3"/>
  <c r="L90" i="3"/>
  <c r="L89" i="3"/>
  <c r="L83" i="3"/>
  <c r="L80" i="3"/>
  <c r="L79" i="3"/>
  <c r="L78" i="3"/>
  <c r="L77" i="3"/>
  <c r="L76" i="3"/>
  <c r="L75" i="3"/>
  <c r="L74" i="3"/>
  <c r="L73" i="3"/>
  <c r="L72" i="3"/>
  <c r="L71" i="3"/>
  <c r="L69" i="3"/>
  <c r="L68" i="3"/>
  <c r="L67" i="3"/>
  <c r="L66" i="3"/>
  <c r="L63" i="3"/>
  <c r="L58" i="3"/>
  <c r="L57" i="3"/>
  <c r="L54" i="3"/>
  <c r="L43" i="3"/>
  <c r="L38" i="3"/>
  <c r="L37" i="3"/>
  <c r="L36" i="3"/>
  <c r="L35" i="3"/>
  <c r="L32" i="3"/>
  <c r="L31" i="3"/>
  <c r="L30" i="3"/>
  <c r="L29" i="3"/>
  <c r="L28" i="3"/>
  <c r="L26" i="3"/>
  <c r="L24" i="3"/>
  <c r="L18" i="3"/>
  <c r="L17" i="3"/>
  <c r="L15" i="3"/>
  <c r="L11" i="3"/>
  <c r="L10" i="3"/>
  <c r="L9" i="3"/>
  <c r="I17" i="2"/>
  <c r="I16" i="2"/>
  <c r="G4" i="2"/>
  <c r="G194" i="3" l="1"/>
  <c r="G175" i="3"/>
  <c r="G176" i="3"/>
  <c r="G177" i="3"/>
  <c r="G178" i="3"/>
  <c r="G179" i="3"/>
  <c r="G180" i="3"/>
  <c r="G181" i="3"/>
  <c r="K181" i="3" s="1"/>
  <c r="G182" i="3"/>
  <c r="G183" i="3"/>
  <c r="K183" i="3" s="1"/>
  <c r="G184" i="3"/>
  <c r="G185" i="3"/>
  <c r="G186" i="3"/>
  <c r="G187" i="3"/>
  <c r="G188" i="3"/>
  <c r="G189" i="3"/>
  <c r="G190" i="3"/>
  <c r="G191" i="3"/>
  <c r="G192" i="3"/>
  <c r="G193" i="3"/>
  <c r="G10" i="3"/>
  <c r="G11" i="3"/>
  <c r="G12" i="3"/>
  <c r="K12" i="3" s="1"/>
  <c r="G13" i="3"/>
  <c r="K13" i="3" s="1"/>
  <c r="G14" i="3"/>
  <c r="K14" i="3" s="1"/>
  <c r="G15" i="3"/>
  <c r="G16" i="3"/>
  <c r="K16" i="3" s="1"/>
  <c r="G17" i="3"/>
  <c r="G18" i="3"/>
  <c r="G19" i="3"/>
  <c r="K19" i="3" s="1"/>
  <c r="G20" i="3"/>
  <c r="K20" i="3" s="1"/>
  <c r="G21" i="3"/>
  <c r="K21" i="3" s="1"/>
  <c r="G22" i="3"/>
  <c r="K22" i="3" s="1"/>
  <c r="G23" i="3"/>
  <c r="K23" i="3" s="1"/>
  <c r="G24" i="3"/>
  <c r="G25" i="3"/>
  <c r="K25" i="3" s="1"/>
  <c r="G26" i="3"/>
  <c r="G27" i="3"/>
  <c r="K27" i="3" s="1"/>
  <c r="G28" i="3"/>
  <c r="G29" i="3"/>
  <c r="G30" i="3"/>
  <c r="G31" i="3"/>
  <c r="G32" i="3"/>
  <c r="G33" i="3"/>
  <c r="K33" i="3" s="1"/>
  <c r="G34" i="3"/>
  <c r="K34" i="3" s="1"/>
  <c r="G35" i="3"/>
  <c r="G36" i="3"/>
  <c r="G37" i="3"/>
  <c r="G38" i="3"/>
  <c r="G39" i="3"/>
  <c r="K39" i="3" s="1"/>
  <c r="G40" i="3"/>
  <c r="K40" i="3" s="1"/>
  <c r="G41" i="3"/>
  <c r="K41" i="3" s="1"/>
  <c r="G42" i="3"/>
  <c r="K42" i="3" s="1"/>
  <c r="G43" i="3"/>
  <c r="G44" i="3"/>
  <c r="K44" i="3" s="1"/>
  <c r="G45" i="3"/>
  <c r="K45" i="3" s="1"/>
  <c r="G46" i="3"/>
  <c r="K46" i="3" s="1"/>
  <c r="G47" i="3"/>
  <c r="K47" i="3" s="1"/>
  <c r="G48" i="3"/>
  <c r="K48" i="3" s="1"/>
  <c r="G49" i="3"/>
  <c r="K49" i="3" s="1"/>
  <c r="G50" i="3"/>
  <c r="K50" i="3" s="1"/>
  <c r="G51" i="3"/>
  <c r="K51" i="3" s="1"/>
  <c r="G52" i="3"/>
  <c r="K52" i="3" s="1"/>
  <c r="G53" i="3"/>
  <c r="K53" i="3" s="1"/>
  <c r="G54" i="3"/>
  <c r="G55" i="3"/>
  <c r="K55" i="3" s="1"/>
  <c r="G56" i="3"/>
  <c r="K56" i="3" s="1"/>
  <c r="G57" i="3"/>
  <c r="G58" i="3"/>
  <c r="G59" i="3"/>
  <c r="K59" i="3" s="1"/>
  <c r="G60" i="3"/>
  <c r="K60" i="3" s="1"/>
  <c r="G61" i="3"/>
  <c r="K61" i="3" s="1"/>
  <c r="G62" i="3"/>
  <c r="K62" i="3" s="1"/>
  <c r="G63" i="3"/>
  <c r="G64" i="3"/>
  <c r="K64" i="3" s="1"/>
  <c r="G65" i="3"/>
  <c r="K65" i="3" s="1"/>
  <c r="G66" i="3"/>
  <c r="G67" i="3"/>
  <c r="G68" i="3"/>
  <c r="G69" i="3"/>
  <c r="G70" i="3"/>
  <c r="K70" i="3" s="1"/>
  <c r="G71" i="3"/>
  <c r="G72" i="3"/>
  <c r="G73" i="3"/>
  <c r="G74" i="3"/>
  <c r="G75" i="3"/>
  <c r="G76" i="3"/>
  <c r="G77" i="3"/>
  <c r="G78" i="3"/>
  <c r="G79" i="3"/>
  <c r="G80" i="3"/>
  <c r="G81" i="3"/>
  <c r="K81" i="3" s="1"/>
  <c r="G82" i="3"/>
  <c r="K82" i="3" s="1"/>
  <c r="G83" i="3"/>
  <c r="G84" i="3"/>
  <c r="K84" i="3" s="1"/>
  <c r="G85" i="3"/>
  <c r="K85" i="3" s="1"/>
  <c r="G86" i="3"/>
  <c r="K86" i="3" s="1"/>
  <c r="G87" i="3"/>
  <c r="K87" i="3" s="1"/>
  <c r="G88" i="3"/>
  <c r="K88" i="3" s="1"/>
  <c r="G89" i="3"/>
  <c r="G90" i="3"/>
  <c r="G91" i="3"/>
  <c r="K91" i="3" s="1"/>
  <c r="G92" i="3"/>
  <c r="G93" i="3"/>
  <c r="G94" i="3"/>
  <c r="K94" i="3" s="1"/>
  <c r="G95" i="3"/>
  <c r="K95" i="3" s="1"/>
  <c r="G96" i="3"/>
  <c r="K96" i="3" s="1"/>
  <c r="G97" i="3"/>
  <c r="K97" i="3" s="1"/>
  <c r="G98" i="3"/>
  <c r="K98" i="3" s="1"/>
  <c r="G99" i="3"/>
  <c r="K99" i="3" s="1"/>
  <c r="G100" i="3"/>
  <c r="K100" i="3" s="1"/>
  <c r="G101" i="3"/>
  <c r="K101" i="3" s="1"/>
  <c r="G102" i="3"/>
  <c r="K102" i="3" s="1"/>
  <c r="G103" i="3"/>
  <c r="K103" i="3" s="1"/>
  <c r="G104" i="3"/>
  <c r="K104" i="3" s="1"/>
  <c r="G105" i="3"/>
  <c r="K105" i="3" s="1"/>
  <c r="G106" i="3"/>
  <c r="G107" i="3"/>
  <c r="G108" i="3"/>
  <c r="G109" i="3"/>
  <c r="K109" i="3" s="1"/>
  <c r="G110" i="3"/>
  <c r="G111" i="3"/>
  <c r="G112" i="3"/>
  <c r="G113" i="3"/>
  <c r="G114" i="3"/>
  <c r="G115" i="3"/>
  <c r="K115" i="3" s="1"/>
  <c r="G116" i="3"/>
  <c r="K116" i="3" s="1"/>
  <c r="G117" i="3"/>
  <c r="K117" i="3" s="1"/>
  <c r="G118" i="3"/>
  <c r="G119" i="3"/>
  <c r="G120" i="3"/>
  <c r="G121" i="3"/>
  <c r="K121" i="3" s="1"/>
  <c r="G122" i="3"/>
  <c r="K122" i="3" s="1"/>
  <c r="G123" i="3"/>
  <c r="K123" i="3" s="1"/>
  <c r="G124" i="3"/>
  <c r="G125" i="3"/>
  <c r="G126" i="3"/>
  <c r="G127" i="3"/>
  <c r="G128" i="3"/>
  <c r="G129" i="3"/>
  <c r="G130" i="3"/>
  <c r="G131" i="3"/>
  <c r="G132" i="3"/>
  <c r="G133" i="3"/>
  <c r="G134" i="3"/>
  <c r="G135" i="3"/>
  <c r="K135" i="3" s="1"/>
  <c r="G136" i="3"/>
  <c r="G137" i="3"/>
  <c r="G138" i="3"/>
  <c r="G139" i="3"/>
  <c r="K139" i="3" s="1"/>
  <c r="G140" i="3"/>
  <c r="G141" i="3"/>
  <c r="G142" i="3"/>
  <c r="G143" i="3"/>
  <c r="K143" i="3" s="1"/>
  <c r="G144" i="3"/>
  <c r="K144" i="3" s="1"/>
  <c r="G145" i="3"/>
  <c r="K145" i="3" s="1"/>
  <c r="G146" i="3"/>
  <c r="K146" i="3" s="1"/>
  <c r="G147" i="3"/>
  <c r="G148" i="3"/>
  <c r="K148" i="3" s="1"/>
  <c r="G149" i="3"/>
  <c r="K149" i="3" s="1"/>
  <c r="G150" i="3"/>
  <c r="G151" i="3"/>
  <c r="G152" i="3"/>
  <c r="G153" i="3"/>
  <c r="K153" i="3" s="1"/>
  <c r="G154" i="3"/>
  <c r="K154" i="3" s="1"/>
  <c r="G155" i="3"/>
  <c r="G156" i="3"/>
  <c r="G157" i="3"/>
  <c r="G158" i="3"/>
  <c r="G159" i="3"/>
  <c r="G160" i="3"/>
  <c r="G161" i="3"/>
  <c r="G162" i="3"/>
  <c r="K162" i="3" s="1"/>
  <c r="G163" i="3"/>
  <c r="G164" i="3"/>
  <c r="K164" i="3" s="1"/>
  <c r="G165" i="3"/>
  <c r="G166" i="3"/>
  <c r="G167" i="3"/>
  <c r="K167" i="3" s="1"/>
  <c r="G168" i="3"/>
  <c r="G169" i="3"/>
  <c r="G170" i="3"/>
  <c r="G171" i="3"/>
  <c r="K171" i="3" s="1"/>
  <c r="G172" i="3"/>
  <c r="K172" i="3" s="1"/>
  <c r="G173" i="3"/>
  <c r="G174" i="3"/>
  <c r="G9" i="3"/>
  <c r="F175" i="3"/>
  <c r="F176" i="3"/>
  <c r="F177" i="3"/>
  <c r="F178" i="3"/>
  <c r="F179" i="3"/>
  <c r="F180" i="3"/>
  <c r="F181" i="3"/>
  <c r="J181" i="3" s="1"/>
  <c r="F182" i="3"/>
  <c r="F183" i="3"/>
  <c r="J183" i="3" s="1"/>
  <c r="F184" i="3"/>
  <c r="F185" i="3"/>
  <c r="F186" i="3"/>
  <c r="F187" i="3"/>
  <c r="F188" i="3"/>
  <c r="F189" i="3"/>
  <c r="F190" i="3"/>
  <c r="F191" i="3"/>
  <c r="F192" i="3"/>
  <c r="F193" i="3"/>
  <c r="F194" i="3"/>
  <c r="F10" i="3"/>
  <c r="F11" i="3"/>
  <c r="F12" i="3"/>
  <c r="J12" i="3" s="1"/>
  <c r="F13" i="3"/>
  <c r="J13" i="3" s="1"/>
  <c r="F14" i="3"/>
  <c r="J14" i="3" s="1"/>
  <c r="F15" i="3"/>
  <c r="F16" i="3"/>
  <c r="J16" i="3" s="1"/>
  <c r="F17" i="3"/>
  <c r="F18" i="3"/>
  <c r="F19" i="3"/>
  <c r="J19" i="3" s="1"/>
  <c r="F20" i="3"/>
  <c r="J20" i="3" s="1"/>
  <c r="F21" i="3"/>
  <c r="J21" i="3" s="1"/>
  <c r="F22" i="3"/>
  <c r="J22" i="3" s="1"/>
  <c r="F23" i="3"/>
  <c r="J23" i="3" s="1"/>
  <c r="F24" i="3"/>
  <c r="F25" i="3"/>
  <c r="J25" i="3" s="1"/>
  <c r="F26" i="3"/>
  <c r="F27" i="3"/>
  <c r="J27" i="3" s="1"/>
  <c r="F28" i="3"/>
  <c r="F29" i="3"/>
  <c r="F30" i="3"/>
  <c r="F31" i="3"/>
  <c r="F32" i="3"/>
  <c r="F33" i="3"/>
  <c r="J33" i="3" s="1"/>
  <c r="F34" i="3"/>
  <c r="J34" i="3" s="1"/>
  <c r="F35" i="3"/>
  <c r="F36" i="3"/>
  <c r="F37" i="3"/>
  <c r="F38" i="3"/>
  <c r="F39" i="3"/>
  <c r="J39" i="3" s="1"/>
  <c r="F40" i="3"/>
  <c r="J40" i="3" s="1"/>
  <c r="F41" i="3"/>
  <c r="J41" i="3" s="1"/>
  <c r="F42" i="3"/>
  <c r="J42" i="3" s="1"/>
  <c r="F43" i="3"/>
  <c r="F44" i="3"/>
  <c r="J44" i="3" s="1"/>
  <c r="F45" i="3"/>
  <c r="J45" i="3" s="1"/>
  <c r="F46" i="3"/>
  <c r="J46" i="3" s="1"/>
  <c r="F47" i="3"/>
  <c r="J47" i="3" s="1"/>
  <c r="F48" i="3"/>
  <c r="J48" i="3" s="1"/>
  <c r="F49" i="3"/>
  <c r="J49" i="3" s="1"/>
  <c r="F50" i="3"/>
  <c r="J50" i="3" s="1"/>
  <c r="F51" i="3"/>
  <c r="J51" i="3" s="1"/>
  <c r="F52" i="3"/>
  <c r="J52" i="3" s="1"/>
  <c r="F53" i="3"/>
  <c r="J53" i="3" s="1"/>
  <c r="F54" i="3"/>
  <c r="F55" i="3"/>
  <c r="J55" i="3" s="1"/>
  <c r="F56" i="3"/>
  <c r="J56" i="3" s="1"/>
  <c r="F57" i="3"/>
  <c r="F58" i="3"/>
  <c r="F59" i="3"/>
  <c r="J59" i="3" s="1"/>
  <c r="F60" i="3"/>
  <c r="J60" i="3" s="1"/>
  <c r="F61" i="3"/>
  <c r="J61" i="3" s="1"/>
  <c r="F62" i="3"/>
  <c r="J62" i="3" s="1"/>
  <c r="F63" i="3"/>
  <c r="F64" i="3"/>
  <c r="J64" i="3" s="1"/>
  <c r="F65" i="3"/>
  <c r="J65" i="3" s="1"/>
  <c r="F66" i="3"/>
  <c r="F67" i="3"/>
  <c r="F68" i="3"/>
  <c r="F69" i="3"/>
  <c r="F70" i="3"/>
  <c r="J70" i="3" s="1"/>
  <c r="F71" i="3"/>
  <c r="F72" i="3"/>
  <c r="F73" i="3"/>
  <c r="F74" i="3"/>
  <c r="F75" i="3"/>
  <c r="F76" i="3"/>
  <c r="F77" i="3"/>
  <c r="F78" i="3"/>
  <c r="F79" i="3"/>
  <c r="F80" i="3"/>
  <c r="F81" i="3"/>
  <c r="J81" i="3" s="1"/>
  <c r="F82" i="3"/>
  <c r="J82" i="3" s="1"/>
  <c r="F83" i="3"/>
  <c r="F84" i="3"/>
  <c r="J84" i="3" s="1"/>
  <c r="F85" i="3"/>
  <c r="J85" i="3" s="1"/>
  <c r="F86" i="3"/>
  <c r="J86" i="3" s="1"/>
  <c r="F87" i="3"/>
  <c r="J87" i="3" s="1"/>
  <c r="F88" i="3"/>
  <c r="J88" i="3" s="1"/>
  <c r="F89" i="3"/>
  <c r="F90" i="3"/>
  <c r="F91" i="3"/>
  <c r="J91" i="3" s="1"/>
  <c r="F92" i="3"/>
  <c r="F93" i="3"/>
  <c r="F94" i="3"/>
  <c r="J94" i="3" s="1"/>
  <c r="F95" i="3"/>
  <c r="J95" i="3" s="1"/>
  <c r="F96" i="3"/>
  <c r="J96" i="3" s="1"/>
  <c r="F97" i="3"/>
  <c r="J97" i="3" s="1"/>
  <c r="F98" i="3"/>
  <c r="J98" i="3" s="1"/>
  <c r="F99" i="3"/>
  <c r="J99" i="3" s="1"/>
  <c r="F100" i="3"/>
  <c r="J100" i="3" s="1"/>
  <c r="F101" i="3"/>
  <c r="J101" i="3" s="1"/>
  <c r="F102" i="3"/>
  <c r="J102" i="3" s="1"/>
  <c r="F103" i="3"/>
  <c r="J103" i="3" s="1"/>
  <c r="F104" i="3"/>
  <c r="J104" i="3" s="1"/>
  <c r="F105" i="3"/>
  <c r="J105" i="3" s="1"/>
  <c r="F106" i="3"/>
  <c r="F107" i="3"/>
  <c r="F108" i="3"/>
  <c r="F109" i="3"/>
  <c r="J109" i="3" s="1"/>
  <c r="F110" i="3"/>
  <c r="F111" i="3"/>
  <c r="F112" i="3"/>
  <c r="F113" i="3"/>
  <c r="F114" i="3"/>
  <c r="F115" i="3"/>
  <c r="J115" i="3" s="1"/>
  <c r="F116" i="3"/>
  <c r="J116" i="3" s="1"/>
  <c r="F117" i="3"/>
  <c r="J117" i="3" s="1"/>
  <c r="F118" i="3"/>
  <c r="F119" i="3"/>
  <c r="F120" i="3"/>
  <c r="F121" i="3"/>
  <c r="J121" i="3" s="1"/>
  <c r="F122" i="3"/>
  <c r="J122" i="3" s="1"/>
  <c r="F123" i="3"/>
  <c r="J123" i="3" s="1"/>
  <c r="F124" i="3"/>
  <c r="F125" i="3"/>
  <c r="F126" i="3"/>
  <c r="F127" i="3"/>
  <c r="F128" i="3"/>
  <c r="F129" i="3"/>
  <c r="F130" i="3"/>
  <c r="F131" i="3"/>
  <c r="F132" i="3"/>
  <c r="F133" i="3"/>
  <c r="F134" i="3"/>
  <c r="F135" i="3"/>
  <c r="J135" i="3" s="1"/>
  <c r="F136" i="3"/>
  <c r="F137" i="3"/>
  <c r="F138" i="3"/>
  <c r="F139" i="3"/>
  <c r="J139" i="3" s="1"/>
  <c r="F140" i="3"/>
  <c r="F141" i="3"/>
  <c r="F142" i="3"/>
  <c r="F143" i="3"/>
  <c r="J143" i="3" s="1"/>
  <c r="F144" i="3"/>
  <c r="J144" i="3" s="1"/>
  <c r="F145" i="3"/>
  <c r="J145" i="3" s="1"/>
  <c r="F146" i="3"/>
  <c r="J146" i="3" s="1"/>
  <c r="F147" i="3"/>
  <c r="F148" i="3"/>
  <c r="J148" i="3" s="1"/>
  <c r="F149" i="3"/>
  <c r="J149" i="3" s="1"/>
  <c r="F150" i="3"/>
  <c r="F151" i="3"/>
  <c r="F152" i="3"/>
  <c r="F153" i="3"/>
  <c r="J153" i="3" s="1"/>
  <c r="F154" i="3"/>
  <c r="J154" i="3" s="1"/>
  <c r="F155" i="3"/>
  <c r="F156" i="3"/>
  <c r="F157" i="3"/>
  <c r="F158" i="3"/>
  <c r="F159" i="3"/>
  <c r="F160" i="3"/>
  <c r="F161" i="3"/>
  <c r="F162" i="3"/>
  <c r="J162" i="3" s="1"/>
  <c r="F163" i="3"/>
  <c r="F164" i="3"/>
  <c r="J164" i="3" s="1"/>
  <c r="F165" i="3"/>
  <c r="F166" i="3"/>
  <c r="F167" i="3"/>
  <c r="J167" i="3" s="1"/>
  <c r="F168" i="3"/>
  <c r="F169" i="3"/>
  <c r="F170" i="3"/>
  <c r="F171" i="3"/>
  <c r="J171" i="3" s="1"/>
  <c r="F172" i="3"/>
  <c r="J172" i="3" s="1"/>
  <c r="F173" i="3"/>
  <c r="F174" i="3"/>
  <c r="F9" i="3"/>
  <c r="B183" i="3"/>
  <c r="B184" i="3"/>
  <c r="B185" i="3"/>
  <c r="B186" i="3"/>
  <c r="B187" i="3"/>
  <c r="B188" i="3"/>
  <c r="B189" i="3"/>
  <c r="B190" i="3"/>
  <c r="B191" i="3"/>
  <c r="B192" i="3"/>
  <c r="H134" i="3" l="1"/>
  <c r="J134" i="3"/>
  <c r="H86" i="3"/>
  <c r="H46" i="3"/>
  <c r="I168" i="3"/>
  <c r="K168" i="3"/>
  <c r="I120" i="3"/>
  <c r="K120" i="3"/>
  <c r="I72" i="3"/>
  <c r="K72" i="3"/>
  <c r="I48" i="3"/>
  <c r="I24" i="3"/>
  <c r="K24" i="3"/>
  <c r="H165" i="3"/>
  <c r="J165" i="3"/>
  <c r="H125" i="3"/>
  <c r="J125" i="3"/>
  <c r="H85" i="3"/>
  <c r="H53" i="3"/>
  <c r="H29" i="3"/>
  <c r="J29" i="3"/>
  <c r="H13" i="3"/>
  <c r="I151" i="3"/>
  <c r="K151" i="3"/>
  <c r="I111" i="3"/>
  <c r="K111" i="3"/>
  <c r="I87" i="3"/>
  <c r="I63" i="3"/>
  <c r="K63" i="3"/>
  <c r="I39" i="3"/>
  <c r="I31" i="3"/>
  <c r="K31" i="3"/>
  <c r="I15" i="3"/>
  <c r="K15" i="3"/>
  <c r="I183" i="3"/>
  <c r="H164" i="3"/>
  <c r="H148" i="3"/>
  <c r="H140" i="3"/>
  <c r="J140" i="3"/>
  <c r="H132" i="3"/>
  <c r="J132" i="3"/>
  <c r="H124" i="3"/>
  <c r="J124" i="3"/>
  <c r="H116" i="3"/>
  <c r="H108" i="3"/>
  <c r="J108" i="3"/>
  <c r="H100" i="3"/>
  <c r="H92" i="3"/>
  <c r="J92" i="3"/>
  <c r="H84" i="3"/>
  <c r="H76" i="3"/>
  <c r="J76" i="3"/>
  <c r="H68" i="3"/>
  <c r="J68" i="3"/>
  <c r="H60" i="3"/>
  <c r="H52" i="3"/>
  <c r="H44" i="3"/>
  <c r="H36" i="3"/>
  <c r="J36" i="3"/>
  <c r="H28" i="3"/>
  <c r="J28" i="3"/>
  <c r="H20" i="3"/>
  <c r="H12" i="3"/>
  <c r="H189" i="3"/>
  <c r="J189" i="3"/>
  <c r="H181" i="3"/>
  <c r="I174" i="3"/>
  <c r="K174" i="3"/>
  <c r="I166" i="3"/>
  <c r="K166" i="3"/>
  <c r="I158" i="3"/>
  <c r="K158" i="3"/>
  <c r="I150" i="3"/>
  <c r="K150" i="3"/>
  <c r="I142" i="3"/>
  <c r="K142" i="3"/>
  <c r="I134" i="3"/>
  <c r="K134" i="3"/>
  <c r="I126" i="3"/>
  <c r="K126" i="3"/>
  <c r="I118" i="3"/>
  <c r="K118" i="3"/>
  <c r="I110" i="3"/>
  <c r="K110" i="3"/>
  <c r="I102" i="3"/>
  <c r="I94" i="3"/>
  <c r="I86" i="3"/>
  <c r="I78" i="3"/>
  <c r="K78" i="3"/>
  <c r="I70" i="3"/>
  <c r="I62" i="3"/>
  <c r="I54" i="3"/>
  <c r="K54" i="3"/>
  <c r="I46" i="3"/>
  <c r="I38" i="3"/>
  <c r="K38" i="3"/>
  <c r="I30" i="3"/>
  <c r="K30" i="3"/>
  <c r="I22" i="3"/>
  <c r="I14" i="3"/>
  <c r="I190" i="3"/>
  <c r="K190" i="3"/>
  <c r="I182" i="3"/>
  <c r="K182" i="3"/>
  <c r="I194" i="3"/>
  <c r="K194" i="3"/>
  <c r="H142" i="3"/>
  <c r="J142" i="3"/>
  <c r="H94" i="3"/>
  <c r="H54" i="3"/>
  <c r="J54" i="3"/>
  <c r="H30" i="3"/>
  <c r="J30" i="3"/>
  <c r="H22" i="3"/>
  <c r="H14" i="3"/>
  <c r="I152" i="3"/>
  <c r="K152" i="3"/>
  <c r="I104" i="3"/>
  <c r="I184" i="3"/>
  <c r="K184" i="3"/>
  <c r="H141" i="3"/>
  <c r="J141" i="3"/>
  <c r="H109" i="3"/>
  <c r="H61" i="3"/>
  <c r="I167" i="3"/>
  <c r="I135" i="3"/>
  <c r="I103" i="3"/>
  <c r="I79" i="3"/>
  <c r="K79" i="3"/>
  <c r="I55" i="3"/>
  <c r="I191" i="3"/>
  <c r="K191" i="3"/>
  <c r="I175" i="3"/>
  <c r="K175" i="3"/>
  <c r="H172" i="3"/>
  <c r="H156" i="3"/>
  <c r="J156" i="3"/>
  <c r="H171" i="3"/>
  <c r="H163" i="3"/>
  <c r="J163" i="3"/>
  <c r="H155" i="3"/>
  <c r="J155" i="3"/>
  <c r="H147" i="3"/>
  <c r="J147" i="3"/>
  <c r="H139" i="3"/>
  <c r="H131" i="3"/>
  <c r="J131" i="3"/>
  <c r="H123" i="3"/>
  <c r="H115" i="3"/>
  <c r="H107" i="3"/>
  <c r="J107" i="3"/>
  <c r="H99" i="3"/>
  <c r="H91" i="3"/>
  <c r="H83" i="3"/>
  <c r="J83" i="3"/>
  <c r="H75" i="3"/>
  <c r="J75" i="3"/>
  <c r="H67" i="3"/>
  <c r="J67" i="3"/>
  <c r="H59" i="3"/>
  <c r="H51" i="3"/>
  <c r="H43" i="3"/>
  <c r="J43" i="3"/>
  <c r="H35" i="3"/>
  <c r="J35" i="3"/>
  <c r="H27" i="3"/>
  <c r="H19" i="3"/>
  <c r="H11" i="3"/>
  <c r="J11" i="3"/>
  <c r="H188" i="3"/>
  <c r="J188" i="3"/>
  <c r="H180" i="3"/>
  <c r="J180" i="3"/>
  <c r="I173" i="3"/>
  <c r="K173" i="3"/>
  <c r="I165" i="3"/>
  <c r="K165" i="3"/>
  <c r="I157" i="3"/>
  <c r="K157" i="3"/>
  <c r="I149" i="3"/>
  <c r="I141" i="3"/>
  <c r="K141" i="3"/>
  <c r="I133" i="3"/>
  <c r="K133" i="3"/>
  <c r="I125" i="3"/>
  <c r="K125" i="3"/>
  <c r="I117" i="3"/>
  <c r="I109" i="3"/>
  <c r="I101" i="3"/>
  <c r="I93" i="3"/>
  <c r="K93" i="3"/>
  <c r="I85" i="3"/>
  <c r="I77" i="3"/>
  <c r="K77" i="3"/>
  <c r="I69" i="3"/>
  <c r="K69" i="3"/>
  <c r="I61" i="3"/>
  <c r="I53" i="3"/>
  <c r="I45" i="3"/>
  <c r="I37" i="3"/>
  <c r="K37" i="3"/>
  <c r="I29" i="3"/>
  <c r="K29" i="3"/>
  <c r="I21" i="3"/>
  <c r="I13" i="3"/>
  <c r="I189" i="3"/>
  <c r="K189" i="3"/>
  <c r="I181" i="3"/>
  <c r="H150" i="3"/>
  <c r="J150" i="3"/>
  <c r="H102" i="3"/>
  <c r="H183" i="3"/>
  <c r="I136" i="3"/>
  <c r="K136" i="3"/>
  <c r="I88" i="3"/>
  <c r="I192" i="3"/>
  <c r="K192" i="3"/>
  <c r="H69" i="3"/>
  <c r="J69" i="3"/>
  <c r="H37" i="3"/>
  <c r="J37" i="3"/>
  <c r="I159" i="3"/>
  <c r="K159" i="3"/>
  <c r="I119" i="3"/>
  <c r="K119" i="3"/>
  <c r="I95" i="3"/>
  <c r="I71" i="3"/>
  <c r="K71" i="3"/>
  <c r="I47" i="3"/>
  <c r="I23" i="3"/>
  <c r="H170" i="3"/>
  <c r="J170" i="3"/>
  <c r="H162" i="3"/>
  <c r="H154" i="3"/>
  <c r="H146" i="3"/>
  <c r="H138" i="3"/>
  <c r="J138" i="3"/>
  <c r="H130" i="3"/>
  <c r="J130" i="3"/>
  <c r="H122" i="3"/>
  <c r="H114" i="3"/>
  <c r="J114" i="3"/>
  <c r="H106" i="3"/>
  <c r="J106" i="3"/>
  <c r="H98" i="3"/>
  <c r="H90" i="3"/>
  <c r="J90" i="3"/>
  <c r="H82" i="3"/>
  <c r="H74" i="3"/>
  <c r="J74" i="3"/>
  <c r="H66" i="3"/>
  <c r="J66" i="3"/>
  <c r="H58" i="3"/>
  <c r="J58" i="3"/>
  <c r="H50" i="3"/>
  <c r="H42" i="3"/>
  <c r="H34" i="3"/>
  <c r="H26" i="3"/>
  <c r="J26" i="3"/>
  <c r="H18" i="3"/>
  <c r="J18" i="3"/>
  <c r="H10" i="3"/>
  <c r="J10" i="3"/>
  <c r="H187" i="3"/>
  <c r="J187" i="3"/>
  <c r="H179" i="3"/>
  <c r="J179" i="3"/>
  <c r="I172" i="3"/>
  <c r="I164" i="3"/>
  <c r="I156" i="3"/>
  <c r="K156" i="3"/>
  <c r="I148" i="3"/>
  <c r="I140" i="3"/>
  <c r="K140" i="3"/>
  <c r="I132" i="3"/>
  <c r="K132" i="3"/>
  <c r="I124" i="3"/>
  <c r="K124" i="3"/>
  <c r="I116" i="3"/>
  <c r="I108" i="3"/>
  <c r="K108" i="3"/>
  <c r="I100" i="3"/>
  <c r="I92" i="3"/>
  <c r="K92" i="3"/>
  <c r="I84" i="3"/>
  <c r="I76" i="3"/>
  <c r="K76" i="3"/>
  <c r="I68" i="3"/>
  <c r="K68" i="3"/>
  <c r="I60" i="3"/>
  <c r="I52" i="3"/>
  <c r="I44" i="3"/>
  <c r="I36" i="3"/>
  <c r="K36" i="3"/>
  <c r="I28" i="3"/>
  <c r="K28" i="3"/>
  <c r="I20" i="3"/>
  <c r="I12" i="3"/>
  <c r="I188" i="3"/>
  <c r="K188" i="3"/>
  <c r="I180" i="3"/>
  <c r="K180" i="3"/>
  <c r="H166" i="3"/>
  <c r="J166" i="3"/>
  <c r="H118" i="3"/>
  <c r="J118" i="3"/>
  <c r="H70" i="3"/>
  <c r="H175" i="3"/>
  <c r="J175" i="3"/>
  <c r="I128" i="3"/>
  <c r="K128" i="3"/>
  <c r="I80" i="3"/>
  <c r="K80" i="3"/>
  <c r="I176" i="3"/>
  <c r="K176" i="3"/>
  <c r="H149" i="3"/>
  <c r="H101" i="3"/>
  <c r="H182" i="3"/>
  <c r="J182" i="3"/>
  <c r="I127" i="3"/>
  <c r="K127" i="3"/>
  <c r="H169" i="3"/>
  <c r="J169" i="3"/>
  <c r="H161" i="3"/>
  <c r="J161" i="3"/>
  <c r="H153" i="3"/>
  <c r="H145" i="3"/>
  <c r="H137" i="3"/>
  <c r="J137" i="3"/>
  <c r="H129" i="3"/>
  <c r="J129" i="3"/>
  <c r="H121" i="3"/>
  <c r="H113" i="3"/>
  <c r="J113" i="3"/>
  <c r="H105" i="3"/>
  <c r="H97" i="3"/>
  <c r="H89" i="3"/>
  <c r="J89" i="3"/>
  <c r="H81" i="3"/>
  <c r="H73" i="3"/>
  <c r="J73" i="3"/>
  <c r="H65" i="3"/>
  <c r="H57" i="3"/>
  <c r="J57" i="3"/>
  <c r="H49" i="3"/>
  <c r="H41" i="3"/>
  <c r="H33" i="3"/>
  <c r="H25" i="3"/>
  <c r="H17" i="3"/>
  <c r="J17" i="3"/>
  <c r="H194" i="3"/>
  <c r="J194" i="3"/>
  <c r="H186" i="3"/>
  <c r="J186" i="3"/>
  <c r="H178" i="3"/>
  <c r="J178" i="3"/>
  <c r="I171" i="3"/>
  <c r="I163" i="3"/>
  <c r="K163" i="3"/>
  <c r="I155" i="3"/>
  <c r="K155" i="3"/>
  <c r="I147" i="3"/>
  <c r="K147" i="3"/>
  <c r="I139" i="3"/>
  <c r="I131" i="3"/>
  <c r="K131" i="3"/>
  <c r="I123" i="3"/>
  <c r="I115" i="3"/>
  <c r="I107" i="3"/>
  <c r="K107" i="3"/>
  <c r="I99" i="3"/>
  <c r="I91" i="3"/>
  <c r="I83" i="3"/>
  <c r="K83" i="3"/>
  <c r="I75" i="3"/>
  <c r="K75" i="3"/>
  <c r="I67" i="3"/>
  <c r="K67" i="3"/>
  <c r="I59" i="3"/>
  <c r="I51" i="3"/>
  <c r="I43" i="3"/>
  <c r="K43" i="3"/>
  <c r="I35" i="3"/>
  <c r="K35" i="3"/>
  <c r="I27" i="3"/>
  <c r="I19" i="3"/>
  <c r="I11" i="3"/>
  <c r="K11" i="3"/>
  <c r="I187" i="3"/>
  <c r="K187" i="3"/>
  <c r="I179" i="3"/>
  <c r="K179" i="3"/>
  <c r="H174" i="3"/>
  <c r="J174" i="3"/>
  <c r="H126" i="3"/>
  <c r="J126" i="3"/>
  <c r="H78" i="3"/>
  <c r="J78" i="3"/>
  <c r="H191" i="3"/>
  <c r="J191" i="3"/>
  <c r="I144" i="3"/>
  <c r="I96" i="3"/>
  <c r="I56" i="3"/>
  <c r="I40" i="3"/>
  <c r="I16" i="3"/>
  <c r="H157" i="3"/>
  <c r="J157" i="3"/>
  <c r="H117" i="3"/>
  <c r="H77" i="3"/>
  <c r="J77" i="3"/>
  <c r="H45" i="3"/>
  <c r="H21" i="3"/>
  <c r="I143" i="3"/>
  <c r="H168" i="3"/>
  <c r="J168" i="3"/>
  <c r="H160" i="3"/>
  <c r="J160" i="3"/>
  <c r="H152" i="3"/>
  <c r="J152" i="3"/>
  <c r="H144" i="3"/>
  <c r="H136" i="3"/>
  <c r="J136" i="3"/>
  <c r="H128" i="3"/>
  <c r="J128" i="3"/>
  <c r="H120" i="3"/>
  <c r="J120" i="3"/>
  <c r="H112" i="3"/>
  <c r="J112" i="3"/>
  <c r="H104" i="3"/>
  <c r="H96" i="3"/>
  <c r="H88" i="3"/>
  <c r="H80" i="3"/>
  <c r="J80" i="3"/>
  <c r="H72" i="3"/>
  <c r="J72" i="3"/>
  <c r="H64" i="3"/>
  <c r="H56" i="3"/>
  <c r="H48" i="3"/>
  <c r="H40" i="3"/>
  <c r="H32" i="3"/>
  <c r="J32" i="3"/>
  <c r="H24" i="3"/>
  <c r="J24" i="3"/>
  <c r="H16" i="3"/>
  <c r="H193" i="3"/>
  <c r="J193" i="3"/>
  <c r="H185" i="3"/>
  <c r="J185" i="3"/>
  <c r="H177" i="3"/>
  <c r="J177" i="3"/>
  <c r="I170" i="3"/>
  <c r="K170" i="3"/>
  <c r="I162" i="3"/>
  <c r="I154" i="3"/>
  <c r="I146" i="3"/>
  <c r="I138" i="3"/>
  <c r="K138" i="3"/>
  <c r="I130" i="3"/>
  <c r="K130" i="3"/>
  <c r="I122" i="3"/>
  <c r="I114" i="3"/>
  <c r="K114" i="3"/>
  <c r="I106" i="3"/>
  <c r="K106" i="3"/>
  <c r="I98" i="3"/>
  <c r="I90" i="3"/>
  <c r="K90" i="3"/>
  <c r="I82" i="3"/>
  <c r="I74" i="3"/>
  <c r="K74" i="3"/>
  <c r="I66" i="3"/>
  <c r="K66" i="3"/>
  <c r="I58" i="3"/>
  <c r="K58" i="3"/>
  <c r="I50" i="3"/>
  <c r="I42" i="3"/>
  <c r="I34" i="3"/>
  <c r="I26" i="3"/>
  <c r="K26" i="3"/>
  <c r="I18" i="3"/>
  <c r="K18" i="3"/>
  <c r="I10" i="3"/>
  <c r="K10" i="3"/>
  <c r="I186" i="3"/>
  <c r="K186" i="3"/>
  <c r="I178" i="3"/>
  <c r="K178" i="3"/>
  <c r="H158" i="3"/>
  <c r="J158" i="3"/>
  <c r="H110" i="3"/>
  <c r="J110" i="3"/>
  <c r="H62" i="3"/>
  <c r="H38" i="3"/>
  <c r="J38" i="3"/>
  <c r="I160" i="3"/>
  <c r="K160" i="3"/>
  <c r="I112" i="3"/>
  <c r="K112" i="3"/>
  <c r="I64" i="3"/>
  <c r="I32" i="3"/>
  <c r="K32" i="3"/>
  <c r="H173" i="3"/>
  <c r="J173" i="3"/>
  <c r="H133" i="3"/>
  <c r="J133" i="3"/>
  <c r="H93" i="3"/>
  <c r="J93" i="3"/>
  <c r="H190" i="3"/>
  <c r="J190" i="3"/>
  <c r="H167" i="3"/>
  <c r="H159" i="3"/>
  <c r="J159" i="3"/>
  <c r="H151" i="3"/>
  <c r="J151" i="3"/>
  <c r="H143" i="3"/>
  <c r="H135" i="3"/>
  <c r="H127" i="3"/>
  <c r="J127" i="3"/>
  <c r="H119" i="3"/>
  <c r="J119" i="3"/>
  <c r="H111" i="3"/>
  <c r="J111" i="3"/>
  <c r="H103" i="3"/>
  <c r="H95" i="3"/>
  <c r="H87" i="3"/>
  <c r="H79" i="3"/>
  <c r="J79" i="3"/>
  <c r="H71" i="3"/>
  <c r="J71" i="3"/>
  <c r="H63" i="3"/>
  <c r="J63" i="3"/>
  <c r="H55" i="3"/>
  <c r="H47" i="3"/>
  <c r="H39" i="3"/>
  <c r="H31" i="3"/>
  <c r="J31" i="3"/>
  <c r="H23" i="3"/>
  <c r="H15" i="3"/>
  <c r="J15" i="3"/>
  <c r="H192" i="3"/>
  <c r="J192" i="3"/>
  <c r="H184" i="3"/>
  <c r="J184" i="3"/>
  <c r="H176" i="3"/>
  <c r="J176" i="3"/>
  <c r="I169" i="3"/>
  <c r="K169" i="3"/>
  <c r="I161" i="3"/>
  <c r="K161" i="3"/>
  <c r="I153" i="3"/>
  <c r="I145" i="3"/>
  <c r="I137" i="3"/>
  <c r="K137" i="3"/>
  <c r="I129" i="3"/>
  <c r="K129" i="3"/>
  <c r="I121" i="3"/>
  <c r="I113" i="3"/>
  <c r="K113" i="3"/>
  <c r="I105" i="3"/>
  <c r="I97" i="3"/>
  <c r="I89" i="3"/>
  <c r="K89" i="3"/>
  <c r="I81" i="3"/>
  <c r="I73" i="3"/>
  <c r="K73" i="3"/>
  <c r="I65" i="3"/>
  <c r="I57" i="3"/>
  <c r="K57" i="3"/>
  <c r="I49" i="3"/>
  <c r="I41" i="3"/>
  <c r="I33" i="3"/>
  <c r="I25" i="3"/>
  <c r="I17" i="3"/>
  <c r="K17" i="3"/>
  <c r="I193" i="3"/>
  <c r="K193" i="3"/>
  <c r="I185" i="3"/>
  <c r="K185" i="3"/>
  <c r="I177" i="3"/>
  <c r="K177" i="3"/>
  <c r="B181" i="3"/>
  <c r="B182" i="3"/>
  <c r="B193" i="3"/>
  <c r="B194" i="3"/>
  <c r="H9" i="3" l="1"/>
  <c r="B20" i="2" l="1"/>
  <c r="B19" i="2"/>
  <c r="B42" i="2"/>
  <c r="B41" i="2"/>
  <c r="B40" i="2" l="1"/>
  <c r="I9" i="3" l="1"/>
  <c r="G198" i="3" l="1"/>
  <c r="G200" i="3" s="1"/>
  <c r="T198" i="3" l="1"/>
  <c r="R198" i="3"/>
  <c r="M198" i="3"/>
  <c r="J9" i="3"/>
  <c r="K9" i="3"/>
  <c r="F198" i="3"/>
  <c r="F200" i="3" s="1"/>
  <c r="B9" i="3"/>
  <c r="K198" i="3" l="1"/>
  <c r="K200" i="3" s="1"/>
  <c r="J198" i="3"/>
  <c r="J200" i="3" s="1"/>
  <c r="B180" i="3"/>
  <c r="B179" i="3"/>
  <c r="B178" i="3"/>
  <c r="B177" i="3"/>
  <c r="B176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99" i="3"/>
  <c r="B82" i="3"/>
  <c r="B64" i="3"/>
  <c r="B60" i="3"/>
  <c r="B40" i="3"/>
  <c r="B39" i="3"/>
  <c r="B12" i="3"/>
  <c r="B11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3" i="3"/>
  <c r="B62" i="3"/>
  <c r="B61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0" i="3"/>
  <c r="B8" i="3" l="1"/>
  <c r="N31" i="2"/>
  <c r="N36" i="2" s="1"/>
  <c r="N30" i="2"/>
  <c r="N35" i="2" s="1"/>
  <c r="N29" i="2"/>
  <c r="L29" i="2"/>
  <c r="N198" i="3" l="1"/>
  <c r="N200" i="3" s="1"/>
  <c r="G8" i="2" l="1"/>
  <c r="D40" i="2"/>
  <c r="G40" i="2" s="1"/>
  <c r="E198" i="3" l="1"/>
  <c r="E200" i="3" s="1"/>
  <c r="M200" i="3"/>
  <c r="O198" i="3"/>
  <c r="O200" i="3" s="1"/>
  <c r="P198" i="3"/>
  <c r="P200" i="3" s="1"/>
  <c r="Q198" i="3"/>
  <c r="Q200" i="3" s="1"/>
  <c r="R200" i="3"/>
  <c r="S198" i="3"/>
  <c r="S200" i="3" s="1"/>
  <c r="T200" i="3"/>
  <c r="U198" i="3"/>
  <c r="U200" i="3" s="1"/>
  <c r="V198" i="3"/>
  <c r="V200" i="3" s="1"/>
  <c r="W198" i="3"/>
  <c r="W200" i="3" s="1"/>
  <c r="L17" i="2" l="1"/>
  <c r="L16" i="2"/>
  <c r="I26" i="2"/>
  <c r="I25" i="2"/>
  <c r="G29" i="2"/>
  <c r="D29" i="2"/>
  <c r="I30" i="2" l="1"/>
  <c r="I35" i="2"/>
  <c r="I31" i="2"/>
  <c r="I36" i="2"/>
  <c r="I44" i="2" l="1"/>
</calcChain>
</file>

<file path=xl/sharedStrings.xml><?xml version="1.0" encoding="utf-8"?>
<sst xmlns="http://schemas.openxmlformats.org/spreadsheetml/2006/main" count="1034" uniqueCount="292">
  <si>
    <t>=</t>
  </si>
  <si>
    <t>x</t>
  </si>
  <si>
    <t>SED Allowance</t>
  </si>
  <si>
    <t xml:space="preserve"> </t>
  </si>
  <si>
    <t>b.  Secondary</t>
  </si>
  <si>
    <t>a.  Elementary</t>
  </si>
  <si>
    <t>Juvenile Detention Center Tuition Equivalency</t>
  </si>
  <si>
    <t>Juvenile Detention Center Tuition Equivalency (33-1002B)</t>
  </si>
  <si>
    <t>Court-Ordered Tuition Equivalency</t>
  </si>
  <si>
    <t>Court-Ordered Tuition Equivalency (33-1002B)</t>
  </si>
  <si>
    <t>)</t>
  </si>
  <si>
    <t>+</t>
  </si>
  <si>
    <t xml:space="preserve"> (</t>
  </si>
  <si>
    <t>Exceptional Child Tuition Equivalency</t>
  </si>
  <si>
    <t>Special Education/Exceptional Child Tuition Equivalency (33-1002B)</t>
  </si>
  <si>
    <t>2.  TUITION EQUIVALENCY ALLOWANCES</t>
  </si>
  <si>
    <t>District to Agency Contract Reimbursement</t>
  </si>
  <si>
    <t>1.  EXCEPTIONAL CHILD CONTRACTS (DISTRICT TO AGENCY CONTRACTS) (33-2004)</t>
  </si>
  <si>
    <t>Juvenile Detention Center Summer Tuition Equivalency (33-1002B)</t>
  </si>
  <si>
    <t>worksheet</t>
  </si>
  <si>
    <t>rate calc</t>
  </si>
  <si>
    <t xml:space="preserve">to agency </t>
  </si>
  <si>
    <t>calculation</t>
  </si>
  <si>
    <t>from tuition</t>
  </si>
  <si>
    <t>from district</t>
  </si>
  <si>
    <t>N/A</t>
  </si>
  <si>
    <t>COSSA Academy</t>
  </si>
  <si>
    <t>Project Impact STEM Academy</t>
  </si>
  <si>
    <t>Future Public School</t>
  </si>
  <si>
    <t>Gem Prep: Meridian</t>
  </si>
  <si>
    <t>Gem Prep: Pocatello</t>
  </si>
  <si>
    <t>Pocatello Community Charter School</t>
  </si>
  <si>
    <t>North Star Charter School</t>
  </si>
  <si>
    <t>Forrest M. Bird Charter School</t>
  </si>
  <si>
    <t>Upper Carmen Charter School</t>
  </si>
  <si>
    <t>Chief Tahgee Elementary Academy</t>
  </si>
  <si>
    <t>American Heritage Charter School</t>
  </si>
  <si>
    <t>Heritage Community Charter School</t>
  </si>
  <si>
    <t>STEM Charter Academy</t>
  </si>
  <si>
    <t>Heritage Academy</t>
  </si>
  <si>
    <t>Legacy Charter School</t>
  </si>
  <si>
    <t>Blackfoot Charter Community Learning Center</t>
  </si>
  <si>
    <t>Sage International School of Boise</t>
  </si>
  <si>
    <t>Monticello Montessori Charter School</t>
  </si>
  <si>
    <t>The Village Charter School</t>
  </si>
  <si>
    <t>Palouse Prairie Charter School</t>
  </si>
  <si>
    <t>White Pine Charter School</t>
  </si>
  <si>
    <t>Vision Charter School</t>
  </si>
  <si>
    <t>Xavier Charter School</t>
  </si>
  <si>
    <t>Liberty Charter School</t>
  </si>
  <si>
    <t>Falcon Ridge Public Charter School</t>
  </si>
  <si>
    <t>Rolling Hills Public Charter School</t>
  </si>
  <si>
    <t>McKenna Charter School</t>
  </si>
  <si>
    <t>Victory Charter School</t>
  </si>
  <si>
    <t>Midvale</t>
  </si>
  <si>
    <t>Cambridge Joint</t>
  </si>
  <si>
    <t>Weiser</t>
  </si>
  <si>
    <t>Cascade</t>
  </si>
  <si>
    <t>McCall-Donnelly Joint</t>
  </si>
  <si>
    <t>Murtaugh Joint</t>
  </si>
  <si>
    <t>Castleford Joint</t>
  </si>
  <si>
    <t>Three Creek Joint Elementary</t>
  </si>
  <si>
    <t>Hansen</t>
  </si>
  <si>
    <t>Kimberly</t>
  </si>
  <si>
    <t>Filer</t>
  </si>
  <si>
    <t>Buhl Joint</t>
  </si>
  <si>
    <t>Twin Falls</t>
  </si>
  <si>
    <t>Teton County</t>
  </si>
  <si>
    <t>Avery</t>
  </si>
  <si>
    <t>Wallace</t>
  </si>
  <si>
    <t>Mullan</t>
  </si>
  <si>
    <t>Arbon Elementary</t>
  </si>
  <si>
    <t>Rockland</t>
  </si>
  <si>
    <t>American Falls Joint</t>
  </si>
  <si>
    <t>Fruitland</t>
  </si>
  <si>
    <t>New Plymouth</t>
  </si>
  <si>
    <t>Payette Joint</t>
  </si>
  <si>
    <t>Homedale Joint</t>
  </si>
  <si>
    <t>Bruneau-Grand View Joint</t>
  </si>
  <si>
    <t>Pleasant Valley Elementary</t>
  </si>
  <si>
    <t>Marsing Joint</t>
  </si>
  <si>
    <t>Oneida County</t>
  </si>
  <si>
    <t>Culdesac Joint</t>
  </si>
  <si>
    <t>Lapwai</t>
  </si>
  <si>
    <t>Lewiston Independent</t>
  </si>
  <si>
    <t>Minidoka County Joint</t>
  </si>
  <si>
    <t>Sugar-Salem Joint</t>
  </si>
  <si>
    <t>Madison</t>
  </si>
  <si>
    <t>Richfield</t>
  </si>
  <si>
    <t>Dietrich</t>
  </si>
  <si>
    <t>Shoshone Joint</t>
  </si>
  <si>
    <t>Highland Joint</t>
  </si>
  <si>
    <t>Kamiah Joint</t>
  </si>
  <si>
    <t>Nezperce Joint</t>
  </si>
  <si>
    <t>South Lemhi</t>
  </si>
  <si>
    <t>Salmon</t>
  </si>
  <si>
    <t>Troy</t>
  </si>
  <si>
    <t>Potlatch</t>
  </si>
  <si>
    <t>Kendrick Joint</t>
  </si>
  <si>
    <t>Genesee Joint</t>
  </si>
  <si>
    <t>Moscow Charter School</t>
  </si>
  <si>
    <t>Moscow</t>
  </si>
  <si>
    <t>Kootenai Joint</t>
  </si>
  <si>
    <t>Post Falls</t>
  </si>
  <si>
    <t>Lakeland</t>
  </si>
  <si>
    <t>Coeur d' Alene</t>
  </si>
  <si>
    <t>Valley</t>
  </si>
  <si>
    <t>Jerome Joint</t>
  </si>
  <si>
    <t>West Jefferson</t>
  </si>
  <si>
    <t>Ririe Joint</t>
  </si>
  <si>
    <t>Jefferson County Joint</t>
  </si>
  <si>
    <t>Mountain View</t>
  </si>
  <si>
    <t>Salmon River Joint</t>
  </si>
  <si>
    <t>Cottonwood Joint</t>
  </si>
  <si>
    <t>Bliss Joint</t>
  </si>
  <si>
    <t>Hagerman Joint</t>
  </si>
  <si>
    <t>Wendell</t>
  </si>
  <si>
    <t>Gooding Joint</t>
  </si>
  <si>
    <t>Payette River Technical Academy</t>
  </si>
  <si>
    <t>Emmett Independent</t>
  </si>
  <si>
    <t>Fremont County Joint</t>
  </si>
  <si>
    <t>West Side Joint</t>
  </si>
  <si>
    <t>Preston Joint</t>
  </si>
  <si>
    <t>Mountain Home</t>
  </si>
  <si>
    <t>Glenns Ferry Joint</t>
  </si>
  <si>
    <t>Prairie Elementary</t>
  </si>
  <si>
    <t>Mackay Joint</t>
  </si>
  <si>
    <t>Challis Joint</t>
  </si>
  <si>
    <t>Orofino Joint</t>
  </si>
  <si>
    <t>Clark County Joint</t>
  </si>
  <si>
    <t>Cassia County Joint</t>
  </si>
  <si>
    <t>Soda Springs Joint</t>
  </si>
  <si>
    <t>North Gem</t>
  </si>
  <si>
    <t>Grace Joint</t>
  </si>
  <si>
    <t>Vallivue</t>
  </si>
  <si>
    <t>Parma</t>
  </si>
  <si>
    <t>Melba Joint</t>
  </si>
  <si>
    <t>Notus</t>
  </si>
  <si>
    <t>Middleton</t>
  </si>
  <si>
    <t>Wilder</t>
  </si>
  <si>
    <t>Caldwell</t>
  </si>
  <si>
    <t>Gem Prep: Nampa</t>
  </si>
  <si>
    <t>Nampa</t>
  </si>
  <si>
    <t>Camas County</t>
  </si>
  <si>
    <t>Butte County</t>
  </si>
  <si>
    <t>Boundary County</t>
  </si>
  <si>
    <t>Bonneville Joint</t>
  </si>
  <si>
    <t>Swan Valley Elementary</t>
  </si>
  <si>
    <t>Idaho Falls</t>
  </si>
  <si>
    <t>Lake Pend Oreille</t>
  </si>
  <si>
    <t>West Bonner County</t>
  </si>
  <si>
    <t>Horseshoe Bend</t>
  </si>
  <si>
    <t>Basin</t>
  </si>
  <si>
    <t>Garden Valley</t>
  </si>
  <si>
    <t>Blaine County</t>
  </si>
  <si>
    <t>Shelley Joint</t>
  </si>
  <si>
    <t>Firth</t>
  </si>
  <si>
    <t>Aberdeen</t>
  </si>
  <si>
    <t>Blackfoot</t>
  </si>
  <si>
    <t>Snake River</t>
  </si>
  <si>
    <t>Plummer / Worley Joint</t>
  </si>
  <si>
    <t>St. Maries Joint</t>
  </si>
  <si>
    <t>Bear Lake County</t>
  </si>
  <si>
    <t>Pocatello</t>
  </si>
  <si>
    <t>Marsh Valley Joint</t>
  </si>
  <si>
    <t>Council</t>
  </si>
  <si>
    <t>Meadows Valley</t>
  </si>
  <si>
    <t>Kuna Joint</t>
  </si>
  <si>
    <t>Meridian Medical Arts Charter High School</t>
  </si>
  <si>
    <t>Meridian Technical Charter High School</t>
  </si>
  <si>
    <t>Boise Independent</t>
  </si>
  <si>
    <t>District/Charter Name</t>
  </si>
  <si>
    <t>RE-SORT so charters mixed in</t>
  </si>
  <si>
    <t>Complete the 20XX-20XX tuition worksheet for distribution then copy here.</t>
  </si>
  <si>
    <t>update all formulas (some overridden for that specific yr)</t>
  </si>
  <si>
    <t>Adjust tuition for four day week schools</t>
  </si>
  <si>
    <t>District / Charter #</t>
  </si>
  <si>
    <t>used for payment</t>
  </si>
  <si>
    <t xml:space="preserve">for payment in </t>
  </si>
  <si>
    <t>Elevate Academy</t>
  </si>
  <si>
    <t>Idaho Department of Education - Public School Finance</t>
  </si>
  <si>
    <t>School Number</t>
  </si>
  <si>
    <t>End of worksheet.</t>
  </si>
  <si>
    <t>Whitepine Joint</t>
  </si>
  <si>
    <t>Idaho Virtual Academy</t>
  </si>
  <si>
    <t>North Valley Academy</t>
  </si>
  <si>
    <t>Gem Prep: Online</t>
  </si>
  <si>
    <t>Hayden Canyon Charter School</t>
  </si>
  <si>
    <t>Doral Academy of Idaho</t>
  </si>
  <si>
    <t>Pinecrest Academy of Idaho</t>
  </si>
  <si>
    <t>Kellogg Joint</t>
  </si>
  <si>
    <t>Idaho Arts Charter School</t>
  </si>
  <si>
    <t>Compass Public Charter School</t>
  </si>
  <si>
    <t>Connor Academy</t>
  </si>
  <si>
    <t>Taylor's Crossing Public Charter School</t>
  </si>
  <si>
    <t>iSucceed Virtual High School</t>
  </si>
  <si>
    <t>Idaho Technical Career Academy</t>
  </si>
  <si>
    <t>Thomas Jefferson Charter School</t>
  </si>
  <si>
    <t>Alturas International Academy</t>
  </si>
  <si>
    <t xml:space="preserve">        Cannot be shown - PII</t>
  </si>
  <si>
    <t>School District / Charter School</t>
  </si>
  <si>
    <t>West Ada Joint</t>
  </si>
  <si>
    <t>INSPIRE Connections Academy</t>
  </si>
  <si>
    <t>Idaho Science and Technology Charter School</t>
  </si>
  <si>
    <t>Idaho Connects Online (ICON)</t>
  </si>
  <si>
    <t>Kootenai Bridge Academy</t>
  </si>
  <si>
    <t>Bingham Academy</t>
  </si>
  <si>
    <t>Syringa Mountain School</t>
  </si>
  <si>
    <t>ANSER Charter School</t>
  </si>
  <si>
    <t>Pathways in Education - Nampa</t>
  </si>
  <si>
    <t>Peace Valley Charter School</t>
  </si>
  <si>
    <t>Forge International School</t>
  </si>
  <si>
    <t>FernWaters Public Charter School</t>
  </si>
  <si>
    <t>Treasure Valley Classical Academy</t>
  </si>
  <si>
    <t>Island Park Charter School</t>
  </si>
  <si>
    <t>MOSAIC</t>
  </si>
  <si>
    <r>
      <t xml:space="preserve">SED Students </t>
    </r>
    <r>
      <rPr>
        <b/>
        <sz val="10"/>
        <rFont val="Arial"/>
        <family val="2"/>
      </rPr>
      <t>above</t>
    </r>
    <r>
      <rPr>
        <sz val="10"/>
        <rFont val="Arial"/>
        <family val="2"/>
      </rPr>
      <t xml:space="preserve"> average on Fall 2020 Child Count</t>
    </r>
  </si>
  <si>
    <t>Get updated LEA/District changes from JO and MCT</t>
  </si>
  <si>
    <t>From SPED20XX File</t>
  </si>
  <si>
    <t>From Tuition Rate Calc. File</t>
  </si>
  <si>
    <t>Review 4 day school weeks</t>
  </si>
  <si>
    <t>From Excess Cost Rate File, use final rate</t>
  </si>
  <si>
    <t>Request Fall Child Count rates from SPED and estimate current years average</t>
  </si>
  <si>
    <t>Prior year SED child Count numbers, SED payment file</t>
  </si>
  <si>
    <t>Form Tuition20XX File</t>
  </si>
  <si>
    <t>From COTUIT File</t>
  </si>
  <si>
    <t>From JUVDET20XX File - prior year</t>
  </si>
  <si>
    <t>From JUVDET20XX File - Feb Payment</t>
  </si>
  <si>
    <t>Questions?  Please contact Aaron McCoy at (208) 332-6846 or Public School Finance at (208) 332-6840</t>
  </si>
  <si>
    <t>Gem Prep: Meridian North</t>
  </si>
  <si>
    <t>Juv Det SUMMER days (2021) ELEM</t>
  </si>
  <si>
    <t>Juv Det SUMMER days (2021) SECON</t>
  </si>
  <si>
    <t>District to Agency Best 28 Wk ADA for 2020-2021:</t>
  </si>
  <si>
    <t>Sp Ed Tuit Equiv Fall 2021 ELEM FTE</t>
  </si>
  <si>
    <t>Sp Ed Tuit Equiv Fall 2021 SECON FTE</t>
  </si>
  <si>
    <t>PII - Show no values</t>
  </si>
  <si>
    <r>
      <t xml:space="preserve">SED Students </t>
    </r>
    <r>
      <rPr>
        <b/>
        <sz val="10"/>
        <rFont val="Arial"/>
        <family val="2"/>
      </rPr>
      <t>above</t>
    </r>
    <r>
      <rPr>
        <sz val="10"/>
        <rFont val="Arial"/>
        <family val="2"/>
      </rPr>
      <t xml:space="preserve"> average on Fall 2021 Child Count</t>
    </r>
  </si>
  <si>
    <t>COTUIT</t>
  </si>
  <si>
    <t>**Data submitted for qualifying students as Emotional and Behavioral Disorder (EBD) will be used to calculate the SED distribution.</t>
  </si>
  <si>
    <t>3.  SERIOUS EMOTIONAL DISTURBANCES (SED)** ALLOWANCE (33-2005)</t>
  </si>
  <si>
    <t>2023-2024 ESTIMATING OTHER STATE FUNDING (Line 6 on Foundation Payment)</t>
  </si>
  <si>
    <t>Best 28 Weeks ADA 
2023-2024</t>
  </si>
  <si>
    <t>Previous Year's (2022-2023) Per Pupil State Support</t>
  </si>
  <si>
    <t>Best 28 Weeks ADA 
2021-2022 *</t>
  </si>
  <si>
    <t>(The best 28 weeks ADA for 2023-2024 will be used for payment</t>
  </si>
  <si>
    <t>in FY 2024)</t>
  </si>
  <si>
    <t>documents on the School Finance Secure Website or call Aaron McCoy at (208) 332-6846 for information specific to your school for FY 2023.</t>
  </si>
  <si>
    <t>In FY 2023, only two districts received this funding.</t>
  </si>
  <si>
    <t>No. FTE Fall 2023 Child Count</t>
  </si>
  <si>
    <t>42% of Previous Year's (2022-2023) 
Gross Tuition Rate</t>
  </si>
  <si>
    <t># of FTE reported on the Fall 2022 Child Count *</t>
  </si>
  <si>
    <t>*  Prior year information cannot be shown due to rules governing personally identifiable information.  Please review the FY 2023 Other State Funding</t>
  </si>
  <si>
    <t>In FY 2023, only seven districts received this funding.</t>
  </si>
  <si>
    <t xml:space="preserve"> Days Present in 
2023-2024</t>
  </si>
  <si>
    <t>42% of Previous Year's (2022-2023) Gross 
Daily Tuition Rate</t>
  </si>
  <si>
    <t xml:space="preserve">Days Present for the 2021-2022 School Year </t>
  </si>
  <si>
    <t>Actual days present in 2023-2024 will be used</t>
  </si>
  <si>
    <t>FY 2024</t>
  </si>
  <si>
    <r>
      <t xml:space="preserve"> Days Present for the 2023 </t>
    </r>
    <r>
      <rPr>
        <b/>
        <sz val="10"/>
        <rFont val="Calibri Light"/>
        <family val="2"/>
      </rPr>
      <t>Summer Session</t>
    </r>
  </si>
  <si>
    <t>1/2 of 42% of Prev. Year's (2022-2023) Gross Daily Tuition Rate</t>
  </si>
  <si>
    <r>
      <t xml:space="preserve">Days Present for the 2022 </t>
    </r>
    <r>
      <rPr>
        <b/>
        <sz val="9"/>
        <rFont val="Calibri Light"/>
        <family val="2"/>
      </rPr>
      <t xml:space="preserve">Summer </t>
    </r>
    <r>
      <rPr>
        <sz val="9"/>
        <rFont val="Calibri Light"/>
        <family val="2"/>
      </rPr>
      <t xml:space="preserve">Session </t>
    </r>
  </si>
  <si>
    <t>Actual 2023 summer attend. will be used</t>
  </si>
  <si>
    <t>Number of SED Students on the Fall 2021 Child Count Above the Statewide Average: *</t>
  </si>
  <si>
    <t>Number of SED Students on the Fall 2022 Child Count Above Statewide Avg.</t>
  </si>
  <si>
    <t>Coeur d' Alene Charter Academy</t>
  </si>
  <si>
    <t>Alturas Preparatory Academy, Inc.</t>
  </si>
  <si>
    <t>RISE Charter School, Inc.</t>
  </si>
  <si>
    <t>Cardinal Academy, Incorporated</t>
  </si>
  <si>
    <t>Ct Ordered days (2021-2022) ELEM</t>
  </si>
  <si>
    <t>Ct Ordered days (2021-2022) SECON</t>
  </si>
  <si>
    <t>Juv Det days (2021-2022) ELEM</t>
  </si>
  <si>
    <t>Juv Det days (2021-2022) SECON</t>
  </si>
  <si>
    <t>Per Pupil State Support (2022-2023)</t>
  </si>
  <si>
    <t>2022-2023 Gross Monthly Elementary Tuition Rate</t>
  </si>
  <si>
    <t>Previous Year's (2022-2023) Estimated Excess Cost Rate</t>
  </si>
  <si>
    <t>Previous Year's Estimated
(2022-2023) 
Excess Cost Rate</t>
  </si>
  <si>
    <t xml:space="preserve"> Previous Year's estimated (2022-2023)
Excess Cost Rate</t>
  </si>
  <si>
    <t>2022-2023 Gross Monthly Secondary Tuition Rate</t>
  </si>
  <si>
    <t>Mountain Community School</t>
  </si>
  <si>
    <t>Gem Prep: Meridian South</t>
  </si>
  <si>
    <t>Elevate Academy North</t>
  </si>
  <si>
    <t>Elevate Academy Nampa</t>
  </si>
  <si>
    <t>2022-2023 Yearly Elementary Tuition Rate at 42%</t>
  </si>
  <si>
    <t>2022-2023 Yearly Secondary Tuition Rate at 42%</t>
  </si>
  <si>
    <t>2022-2023 Daily Elementary Tuition Rate at 42%</t>
  </si>
  <si>
    <t>2022-2023 Daily Secondary Tuition Rate at 42%</t>
  </si>
  <si>
    <t>Minus 476 and 201.1</t>
  </si>
  <si>
    <t>Check 4 day school weeks</t>
  </si>
  <si>
    <t>2022-2023 Listing of School Districts and Charter Schools</t>
  </si>
  <si>
    <t>ESTIMATED OTHER STATE FUNDING FOR 2023-2024:</t>
  </si>
  <si>
    <t>(The actual Fall 2023 Child Count will be</t>
  </si>
  <si>
    <t>in 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</si>
</sst>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00"/>
    <numFmt numFmtId="167" formatCode="_(* #,##0.0_);_(* \(#,##0.0\);_(* &quot;-&quot;??_);_(@_)"/>
    <numFmt numFmtId="168" formatCode="_(* #,##0_);_(* \(#,##0\);_(* &quot;-&quot;??_);_(@_)"/>
  </numFmts>
  <fonts count="36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3"/>
      <name val="Calibri Light"/>
      <family val="2"/>
    </font>
    <font>
      <sz val="10"/>
      <name val="Calibri Light"/>
      <family val="2"/>
    </font>
    <font>
      <b/>
      <sz val="13"/>
      <color theme="3"/>
      <name val="Calibri Light"/>
      <family val="2"/>
    </font>
    <font>
      <b/>
      <sz val="10"/>
      <name val="Calibri Light"/>
      <family val="2"/>
    </font>
    <font>
      <b/>
      <sz val="11"/>
      <color theme="3"/>
      <name val="Calibri Light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3"/>
      <name val="Calibri Light"/>
      <family val="2"/>
    </font>
    <font>
      <sz val="10"/>
      <color rgb="FF0000FF"/>
      <name val="Calibri Light"/>
      <family val="2"/>
    </font>
    <font>
      <sz val="13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9"/>
      <name val="Calibri Light"/>
      <family val="2"/>
    </font>
    <font>
      <b/>
      <sz val="15"/>
      <color theme="0"/>
      <name val="Calibri Light"/>
      <family val="2"/>
    </font>
    <font>
      <b/>
      <sz val="13"/>
      <color theme="0"/>
      <name val="Calibri Light"/>
      <family val="2"/>
    </font>
    <font>
      <sz val="10"/>
      <color theme="0"/>
      <name val="Calibri Light"/>
      <family val="2"/>
    </font>
    <font>
      <sz val="8"/>
      <name val="Calibri Light"/>
      <family val="2"/>
    </font>
    <font>
      <b/>
      <sz val="9"/>
      <name val="Calibri Light"/>
      <family val="2"/>
    </font>
    <font>
      <i/>
      <sz val="11"/>
      <name val="Calibri Light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Calibri Light"/>
      <family val="2"/>
    </font>
    <font>
      <i/>
      <sz val="10"/>
      <name val="Arial"/>
      <family val="2"/>
    </font>
    <font>
      <b/>
      <sz val="11"/>
      <color rgb="FF0070C0"/>
      <name val="Calibri Light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43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8" fillId="0" borderId="0" xfId="0" applyFont="1" applyFill="1" applyBorder="1" applyAlignment="1"/>
    <xf numFmtId="0" fontId="8" fillId="0" borderId="0" xfId="0" applyFont="1" applyFill="1" applyAlignment="1"/>
    <xf numFmtId="0" fontId="9" fillId="0" borderId="0" xfId="0" applyFont="1" applyFill="1"/>
    <xf numFmtId="0" fontId="10" fillId="0" borderId="0" xfId="10" applyFont="1" applyFill="1" applyBorder="1"/>
    <xf numFmtId="0" fontId="9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11" applyFont="1" applyFill="1" applyBorder="1"/>
    <xf numFmtId="0" fontId="9" fillId="0" borderId="0" xfId="0" applyFont="1" applyFill="1" applyAlignment="1">
      <alignment vertical="center" wrapText="1"/>
    </xf>
    <xf numFmtId="0" fontId="9" fillId="0" borderId="0" xfId="0" quotePrefix="1" applyFont="1" applyFill="1" applyAlignment="1">
      <alignment horizontal="center"/>
    </xf>
    <xf numFmtId="0" fontId="13" fillId="0" borderId="0" xfId="13"/>
    <xf numFmtId="0" fontId="13" fillId="0" borderId="0" xfId="13" applyFill="1"/>
    <xf numFmtId="0" fontId="13" fillId="0" borderId="0" xfId="13" applyFill="1" applyBorder="1"/>
    <xf numFmtId="0" fontId="13" fillId="0" borderId="0" xfId="13" applyBorder="1"/>
    <xf numFmtId="0" fontId="1" fillId="0" borderId="0" xfId="13" applyFont="1" applyFill="1" applyBorder="1"/>
    <xf numFmtId="164" fontId="13" fillId="0" borderId="0" xfId="13" applyNumberFormat="1" applyFill="1"/>
    <xf numFmtId="0" fontId="14" fillId="0" borderId="0" xfId="13" applyFont="1" applyFill="1" applyAlignment="1">
      <alignment horizontal="right"/>
    </xf>
    <xf numFmtId="0" fontId="14" fillId="0" borderId="0" xfId="13" applyFont="1" applyFill="1"/>
    <xf numFmtId="4" fontId="14" fillId="0" borderId="0" xfId="13" applyNumberFormat="1" applyFont="1" applyFill="1" applyBorder="1"/>
    <xf numFmtId="4" fontId="13" fillId="0" borderId="0" xfId="13" applyNumberFormat="1" applyFill="1" applyBorder="1" applyAlignment="1">
      <alignment horizontal="right"/>
    </xf>
    <xf numFmtId="4" fontId="14" fillId="0" borderId="0" xfId="13" applyNumberFormat="1" applyFont="1" applyFill="1" applyBorder="1" applyAlignment="1">
      <alignment horizontal="right"/>
    </xf>
    <xf numFmtId="165" fontId="14" fillId="0" borderId="0" xfId="13" applyNumberFormat="1" applyFont="1" applyFill="1" applyBorder="1"/>
    <xf numFmtId="0" fontId="1" fillId="0" borderId="0" xfId="13" applyFont="1" applyFill="1"/>
    <xf numFmtId="4" fontId="13" fillId="0" borderId="0" xfId="13" applyNumberFormat="1" applyFill="1"/>
    <xf numFmtId="4" fontId="13" fillId="0" borderId="0" xfId="13" applyNumberFormat="1" applyFill="1" applyBorder="1"/>
    <xf numFmtId="165" fontId="14" fillId="0" borderId="0" xfId="13" applyNumberFormat="1" applyFont="1" applyFill="1" applyBorder="1" applyAlignment="1">
      <alignment horizontal="left"/>
    </xf>
    <xf numFmtId="0" fontId="17" fillId="0" borderId="0" xfId="9" applyFont="1" applyFill="1" applyBorder="1" applyAlignment="1"/>
    <xf numFmtId="0" fontId="10" fillId="0" borderId="0" xfId="9" applyFont="1" applyFill="1" applyBorder="1" applyAlignment="1"/>
    <xf numFmtId="0" fontId="19" fillId="0" borderId="0" xfId="0" applyFont="1" applyFill="1"/>
    <xf numFmtId="0" fontId="17" fillId="0" borderId="1" xfId="9" applyFont="1" applyFill="1" applyBorder="1" applyAlignment="1"/>
    <xf numFmtId="0" fontId="20" fillId="0" borderId="1" xfId="0" applyFont="1" applyFill="1" applyBorder="1" applyAlignment="1"/>
    <xf numFmtId="0" fontId="21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7" fillId="0" borderId="0" xfId="9" applyFont="1" applyFill="1" applyBorder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23" fillId="0" borderId="0" xfId="9" applyFont="1" applyFill="1" applyBorder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26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top"/>
    </xf>
    <xf numFmtId="0" fontId="0" fillId="0" borderId="0" xfId="13" applyFont="1" applyFill="1" applyAlignment="1">
      <alignment horizontal="center" wrapText="1"/>
    </xf>
    <xf numFmtId="0" fontId="28" fillId="0" borderId="0" xfId="0" applyFont="1" applyFill="1"/>
    <xf numFmtId="0" fontId="13" fillId="0" borderId="0" xfId="13" applyFill="1" applyAlignment="1">
      <alignment horizontal="left" wrapText="1"/>
    </xf>
    <xf numFmtId="0" fontId="16" fillId="0" borderId="0" xfId="13" applyFont="1" applyFill="1"/>
    <xf numFmtId="0" fontId="16" fillId="0" borderId="0" xfId="13" applyFont="1" applyFill="1" applyBorder="1"/>
    <xf numFmtId="165" fontId="1" fillId="0" borderId="0" xfId="13" applyNumberFormat="1" applyFont="1" applyFill="1" applyBorder="1" applyAlignment="1">
      <alignment horizontal="center"/>
    </xf>
    <xf numFmtId="165" fontId="1" fillId="0" borderId="0" xfId="13" quotePrefix="1" applyNumberFormat="1" applyFont="1" applyFill="1" applyBorder="1" applyAlignment="1">
      <alignment horizontal="left"/>
    </xf>
    <xf numFmtId="165" fontId="1" fillId="0" borderId="0" xfId="13" applyNumberFormat="1" applyFont="1" applyFill="1" applyBorder="1"/>
    <xf numFmtId="165" fontId="1" fillId="0" borderId="0" xfId="13" applyNumberFormat="1" applyFont="1" applyFill="1" applyBorder="1" applyAlignment="1">
      <alignment horizontal="left"/>
    </xf>
    <xf numFmtId="165" fontId="29" fillId="0" borderId="0" xfId="13" applyNumberFormat="1" applyFont="1" applyFill="1" applyBorder="1"/>
    <xf numFmtId="0" fontId="30" fillId="0" borderId="0" xfId="13" applyFont="1" applyBorder="1"/>
    <xf numFmtId="0" fontId="17" fillId="3" borderId="1" xfId="9" applyFont="1" applyFill="1" applyBorder="1" applyAlignment="1" applyProtection="1">
      <alignment horizontal="center"/>
      <protection locked="0"/>
    </xf>
    <xf numFmtId="43" fontId="9" fillId="0" borderId="0" xfId="12" applyFont="1" applyFill="1" applyBorder="1"/>
    <xf numFmtId="43" fontId="9" fillId="0" borderId="0" xfId="12" applyNumberFormat="1" applyFont="1" applyFill="1" applyBorder="1" applyAlignment="1">
      <alignment horizontal="right" vertical="center"/>
    </xf>
    <xf numFmtId="43" fontId="9" fillId="0" borderId="10" xfId="12" applyFont="1" applyFill="1" applyBorder="1"/>
    <xf numFmtId="43" fontId="10" fillId="0" borderId="0" xfId="12" applyFont="1" applyFill="1" applyBorder="1" applyAlignment="1">
      <alignment horizontal="right"/>
    </xf>
    <xf numFmtId="0" fontId="10" fillId="0" borderId="9" xfId="1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/>
    <xf numFmtId="0" fontId="0" fillId="0" borderId="0" xfId="13" applyFont="1" applyFill="1" applyBorder="1"/>
    <xf numFmtId="43" fontId="13" fillId="0" borderId="0" xfId="12" applyFont="1"/>
    <xf numFmtId="165" fontId="0" fillId="0" borderId="0" xfId="13" applyNumberFormat="1" applyFont="1" applyFill="1" applyBorder="1"/>
    <xf numFmtId="0" fontId="22" fillId="0" borderId="0" xfId="0" applyFont="1" applyFill="1" applyBorder="1" applyAlignment="1">
      <alignment horizontal="center" vertical="top"/>
    </xf>
    <xf numFmtId="4" fontId="0" fillId="0" borderId="0" xfId="13" applyNumberFormat="1" applyFont="1" applyFill="1"/>
    <xf numFmtId="0" fontId="33" fillId="0" borderId="12" xfId="13" applyFont="1" applyFill="1" applyBorder="1" applyAlignment="1"/>
    <xf numFmtId="0" fontId="33" fillId="0" borderId="14" xfId="13" applyFont="1" applyFill="1" applyBorder="1" applyAlignment="1"/>
    <xf numFmtId="0" fontId="33" fillId="0" borderId="13" xfId="13" applyFont="1" applyFill="1" applyBorder="1" applyAlignment="1"/>
    <xf numFmtId="0" fontId="13" fillId="0" borderId="0" xfId="13" applyFill="1" applyAlignment="1">
      <alignment horizontal="center"/>
    </xf>
    <xf numFmtId="0" fontId="13" fillId="0" borderId="0" xfId="13" applyAlignment="1">
      <alignment horizontal="center"/>
    </xf>
    <xf numFmtId="0" fontId="0" fillId="0" borderId="0" xfId="13" applyFont="1" applyAlignment="1">
      <alignment horizontal="center"/>
    </xf>
    <xf numFmtId="0" fontId="0" fillId="0" borderId="0" xfId="13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32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43" fontId="9" fillId="0" borderId="0" xfId="12" applyFont="1" applyFill="1" applyBorder="1" applyAlignment="1">
      <alignment vertical="top"/>
    </xf>
    <xf numFmtId="0" fontId="9" fillId="0" borderId="0" xfId="0" quotePrefix="1" applyFont="1" applyFill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0" fillId="3" borderId="0" xfId="13" applyFont="1" applyFill="1" applyAlignment="1">
      <alignment horizontal="center" wrapText="1"/>
    </xf>
    <xf numFmtId="0" fontId="14" fillId="0" borderId="1" xfId="13" applyFont="1" applyFill="1" applyBorder="1"/>
    <xf numFmtId="0" fontId="15" fillId="0" borderId="1" xfId="13" applyFont="1" applyFill="1" applyBorder="1"/>
    <xf numFmtId="4" fontId="15" fillId="0" borderId="1" xfId="13" applyNumberFormat="1" applyFont="1" applyFill="1" applyBorder="1"/>
    <xf numFmtId="164" fontId="15" fillId="0" borderId="1" xfId="13" applyNumberFormat="1" applyFont="1" applyFill="1" applyBorder="1"/>
    <xf numFmtId="39" fontId="14" fillId="0" borderId="1" xfId="12" applyNumberFormat="1" applyFont="1" applyFill="1" applyBorder="1" applyAlignment="1">
      <alignment horizontal="right"/>
    </xf>
    <xf numFmtId="0" fontId="16" fillId="0" borderId="0" xfId="13" applyFont="1" applyBorder="1" applyAlignment="1">
      <alignment wrapText="1"/>
    </xf>
    <xf numFmtId="43" fontId="0" fillId="0" borderId="0" xfId="12" applyFont="1" applyFill="1" applyAlignment="1">
      <alignment wrapText="1"/>
    </xf>
    <xf numFmtId="0" fontId="0" fillId="0" borderId="0" xfId="13" applyFont="1" applyFill="1" applyBorder="1" applyAlignment="1">
      <alignment wrapText="1"/>
    </xf>
    <xf numFmtId="0" fontId="0" fillId="0" borderId="0" xfId="13" applyFont="1" applyFill="1" applyAlignment="1">
      <alignment wrapText="1"/>
    </xf>
    <xf numFmtId="43" fontId="16" fillId="0" borderId="0" xfId="12" applyFont="1" applyFill="1" applyAlignment="1">
      <alignment wrapText="1"/>
    </xf>
    <xf numFmtId="0" fontId="16" fillId="0" borderId="0" xfId="13" applyFont="1" applyFill="1" applyAlignment="1">
      <alignment wrapText="1"/>
    </xf>
    <xf numFmtId="164" fontId="0" fillId="0" borderId="0" xfId="13" applyNumberFormat="1" applyFont="1" applyFill="1" applyAlignment="1">
      <alignment wrapText="1"/>
    </xf>
    <xf numFmtId="43" fontId="16" fillId="0" borderId="0" xfId="12" applyFont="1" applyFill="1" applyAlignment="1">
      <alignment horizontal="center"/>
    </xf>
    <xf numFmtId="43" fontId="14" fillId="0" borderId="0" xfId="12" applyFont="1" applyFill="1" applyAlignment="1">
      <alignment horizontal="right"/>
    </xf>
    <xf numFmtId="43" fontId="14" fillId="0" borderId="0" xfId="12" quotePrefix="1" applyFont="1" applyFill="1" applyAlignment="1">
      <alignment horizontal="right"/>
    </xf>
    <xf numFmtId="2" fontId="14" fillId="0" borderId="0" xfId="13" quotePrefix="1" applyNumberFormat="1" applyFont="1" applyFill="1" applyAlignment="1">
      <alignment horizontal="right"/>
    </xf>
    <xf numFmtId="164" fontId="14" fillId="0" borderId="0" xfId="13" applyNumberFormat="1" applyFont="1" applyFill="1" applyAlignment="1">
      <alignment horizontal="right"/>
    </xf>
    <xf numFmtId="164" fontId="14" fillId="2" borderId="0" xfId="13" applyNumberFormat="1" applyFont="1" applyFill="1" applyAlignment="1">
      <alignment horizontal="right"/>
    </xf>
    <xf numFmtId="1" fontId="14" fillId="0" borderId="0" xfId="13" quotePrefix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5" xfId="0" applyFont="1" applyFill="1" applyBorder="1" applyAlignment="1">
      <alignment horizontal="center" vertical="center" wrapText="1"/>
    </xf>
    <xf numFmtId="0" fontId="1" fillId="0" borderId="0" xfId="13" applyFont="1" applyFill="1" applyAlignment="1">
      <alignment wrapText="1"/>
    </xf>
    <xf numFmtId="167" fontId="18" fillId="3" borderId="1" xfId="12" applyNumberFormat="1" applyFont="1" applyFill="1" applyBorder="1" applyAlignment="1" applyProtection="1">
      <alignment horizontal="center"/>
      <protection locked="0"/>
    </xf>
    <xf numFmtId="43" fontId="9" fillId="0" borderId="1" xfId="12" applyFont="1" applyFill="1" applyBorder="1" applyAlignment="1">
      <alignment horizontal="center"/>
    </xf>
    <xf numFmtId="43" fontId="9" fillId="0" borderId="1" xfId="0" applyNumberFormat="1" applyFont="1" applyFill="1" applyBorder="1" applyAlignment="1">
      <alignment horizontal="center"/>
    </xf>
    <xf numFmtId="168" fontId="18" fillId="3" borderId="1" xfId="12" applyNumberFormat="1" applyFont="1" applyFill="1" applyBorder="1" applyAlignment="1" applyProtection="1">
      <alignment horizontal="center"/>
      <protection locked="0"/>
    </xf>
    <xf numFmtId="167" fontId="9" fillId="0" borderId="5" xfId="12" applyNumberFormat="1" applyFont="1" applyFill="1" applyBorder="1" applyAlignment="1">
      <alignment horizontal="center" vertical="center"/>
    </xf>
    <xf numFmtId="43" fontId="9" fillId="4" borderId="1" xfId="12" applyFont="1" applyFill="1" applyBorder="1" applyAlignment="1" applyProtection="1">
      <alignment horizontal="center"/>
    </xf>
    <xf numFmtId="0" fontId="9" fillId="0" borderId="10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/>
    </xf>
    <xf numFmtId="44" fontId="34" fillId="0" borderId="10" xfId="14" applyFont="1" applyFill="1" applyBorder="1" applyAlignment="1">
      <alignment horizontal="centerContinuous" vertical="center"/>
    </xf>
    <xf numFmtId="4" fontId="35" fillId="0" borderId="0" xfId="13" applyNumberFormat="1" applyFont="1" applyFill="1" applyBorder="1" applyAlignment="1">
      <alignment horizontal="right"/>
    </xf>
    <xf numFmtId="43" fontId="35" fillId="5" borderId="0" xfId="12" applyFont="1" applyFill="1" applyAlignment="1">
      <alignment horizontal="center" wrapText="1"/>
    </xf>
    <xf numFmtId="0" fontId="35" fillId="5" borderId="0" xfId="13" applyFont="1" applyFill="1" applyAlignment="1">
      <alignment horizontal="center" wrapText="1"/>
    </xf>
    <xf numFmtId="43" fontId="35" fillId="5" borderId="0" xfId="12" applyFont="1" applyFill="1" applyAlignment="1">
      <alignment horizontal="centerContinuous"/>
    </xf>
    <xf numFmtId="43" fontId="16" fillId="5" borderId="0" xfId="12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13" fillId="5" borderId="0" xfId="13" applyFill="1" applyAlignment="1">
      <alignment horizontal="centerContinuous"/>
    </xf>
    <xf numFmtId="0" fontId="32" fillId="0" borderId="0" xfId="0" applyFont="1" applyFill="1" applyAlignment="1"/>
    <xf numFmtId="43" fontId="13" fillId="0" borderId="0" xfId="13" applyNumberFormat="1"/>
    <xf numFmtId="165" fontId="14" fillId="0" borderId="0" xfId="0" applyNumberFormat="1" applyFont="1" applyFill="1" applyAlignment="1">
      <alignment horizontal="center"/>
    </xf>
    <xf numFmtId="4" fontId="1" fillId="0" borderId="0" xfId="13" applyNumberFormat="1" applyFont="1" applyFill="1" applyBorder="1" applyAlignment="1">
      <alignment horizontal="right"/>
    </xf>
  </cellXfs>
  <cellStyles count="15">
    <cellStyle name="Comma" xfId="12" builtinId="3"/>
    <cellStyle name="Comma 2" xfId="1" xr:uid="{00000000-0005-0000-0000-000001000000}"/>
    <cellStyle name="Comma 3" xfId="2" xr:uid="{00000000-0005-0000-0000-000002000000}"/>
    <cellStyle name="Curren - Style1" xfId="3" xr:uid="{00000000-0005-0000-0000-000003000000}"/>
    <cellStyle name="Currency" xfId="14" builtinId="4"/>
    <cellStyle name="Currency 2" xfId="4" xr:uid="{00000000-0005-0000-0000-000004000000}"/>
    <cellStyle name="Heading 1" xfId="9" builtinId="16"/>
    <cellStyle name="Heading 2" xfId="10" builtinId="17"/>
    <cellStyle name="Heading 3" xfId="11" builtinId="18"/>
    <cellStyle name="Normal" xfId="0" builtinId="0"/>
    <cellStyle name="Normal 2" xfId="5" xr:uid="{00000000-0005-0000-0000-000009000000}"/>
    <cellStyle name="Normal 3" xfId="6" xr:uid="{00000000-0005-0000-0000-00000A000000}"/>
    <cellStyle name="Normal 4" xfId="13" xr:uid="{00000000-0005-0000-0000-00000B000000}"/>
    <cellStyle name="Percen - Style2" xfId="7" xr:uid="{00000000-0005-0000-0000-00000C000000}"/>
    <cellStyle name="Percent 2" xfId="8" xr:uid="{00000000-0005-0000-0000-00000D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SchoolFinance/Tuition%20Rates/FY2023%20Tuition%20Rates/2023%20Tuit%20Rate%20Calc%20Spri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Emailed to LEAs 5.27"/>
      <sheetName val="FY 2023 Transfer Data to Word"/>
      <sheetName val="2023 Average for New Charters"/>
      <sheetName val="FY2023 Tuition Rates iss Spring"/>
      <sheetName val="FY 2023 Trends"/>
      <sheetName val="FY 2023 Comparison"/>
      <sheetName val="FY 2023 Rate Data"/>
      <sheetName val="FY 2023 Rate Data-Fixed Asset"/>
      <sheetName val="FY 2021 Foundation Support"/>
      <sheetName val="FY 2021 Fund 100"/>
      <sheetName val="FY 2021 Interest All Fund"/>
      <sheetName val="FY 2021 Data (Exp)"/>
      <sheetName val="FY 21 AdaByProgram (Sorted)"/>
      <sheetName val="FY 21 AdaByProgram (Original)"/>
      <sheetName val="Rates Emailed to LEAs 7 28 21"/>
      <sheetName val="FY 2022 Transfer Data to Word"/>
      <sheetName val="2022 Average for New Charters"/>
      <sheetName val="FY2022 Tuition Rates iss Spring"/>
      <sheetName val="FY 2022 Trends"/>
      <sheetName val="FY 2022 Comparison"/>
      <sheetName val="FY 2022 Rate Data"/>
      <sheetName val="FY 2022 Rate Data-Fixed Asset"/>
      <sheetName val="FY 2020 Foundation Support"/>
      <sheetName val="FY 2020 Pivot Fund 100"/>
      <sheetName val="FY 2020 Pvt Interest All Funds"/>
      <sheetName val="FY 2020 Data (Exp)"/>
      <sheetName val="FY 20 AdaByProgram (Sorted)"/>
      <sheetName val="FY 20 AdaByProgram (Original)"/>
      <sheetName val="Rates Emailed to LEAs 8 14 2020"/>
      <sheetName val="FY 2021 Transfer Data to Word"/>
      <sheetName val="2021 Average for New Charters"/>
      <sheetName val="FY2021 Tuition Rates iss Spr 20"/>
      <sheetName val="FY 2021 Trends"/>
      <sheetName val="FY 2021 Comparison"/>
      <sheetName val="FY 2021 Rate Data"/>
      <sheetName val="FY 2021 Rate Data-Fixed Assets"/>
      <sheetName val="FY 2019 Foundation Support"/>
      <sheetName val="FY 2019 Pivot Fund 100 "/>
      <sheetName val="FY 2019 Pvt Interest All Funds"/>
      <sheetName val="FY 2019 Data (Exp)"/>
      <sheetName val="FY 19 AdaByProgram (sorted)"/>
      <sheetName val="FY 19 AdaByProgram (original)"/>
      <sheetName val="Rates Emailed to LEAs 7 12 19"/>
      <sheetName val="FY 2020 Transfer Data to Word"/>
      <sheetName val="FY 2020 Comparison"/>
      <sheetName val="FY 2020 Trends"/>
      <sheetName val="2020 Average for New Charters"/>
      <sheetName val="FY2020 Tuition Rates iss Spr19"/>
      <sheetName val="FY 2020 Rate Data"/>
      <sheetName val="FY 2020 Rate Data-Fixed Assets"/>
      <sheetName val="FY 18 ADA Full Term (sorted)"/>
      <sheetName val="FY 18 ADA Full Term (original)"/>
      <sheetName val="FY 2018 Foundation Support"/>
      <sheetName val="FY 2018 Pivot Fund 100"/>
      <sheetName val="FY 2018 Pvt Interest All Funds"/>
      <sheetName val="FY 2018 Data (Exp)"/>
      <sheetName val="Rates Emailed to LEAs 6 18 2018"/>
      <sheetName val="FY 2019 Transfer Data to Word"/>
      <sheetName val="2019 Average for New Charters"/>
      <sheetName val="FY 2019 Comparison"/>
      <sheetName val="FY19 Tuition Rates issued Spr18"/>
      <sheetName val="FY 2019 Rate Data"/>
      <sheetName val="FY 2019 Rate Data-Fixed Assets"/>
      <sheetName val="FY 2017 Sorted Expd Data"/>
      <sheetName val="FY 2017 Pivot Fund 100"/>
      <sheetName val="FY 2017 Pvt Interest All Funds"/>
      <sheetName val="Sheet15"/>
      <sheetName val="FY 2017 Data (Exp)"/>
      <sheetName val="Rates Emailed to LEAs 6 15 17"/>
      <sheetName val="2018 Average for New Charters"/>
      <sheetName val="FY 2018 Transfer Data to Word"/>
      <sheetName val="FY 2018 Comparison"/>
      <sheetName val="FY 2018 Trends"/>
      <sheetName val="FY 2018 Rate Data"/>
      <sheetName val="FY 2018 Rate Data-Fixed Assets"/>
      <sheetName val="FY18 Tuition Rates issued Spr17"/>
      <sheetName val="FY 2016 Sorted Expd Data "/>
      <sheetName val="FY 2016 Pivot Fund 100"/>
      <sheetName val="FY 2016 Pvt Interest All Funds"/>
      <sheetName val="FY 2016 Data (Exp)"/>
    </sheetNames>
    <sheetDataSet>
      <sheetData sheetId="0" refreshError="1"/>
      <sheetData sheetId="1">
        <row r="10">
          <cell r="A10">
            <v>1</v>
          </cell>
          <cell r="B10">
            <v>1</v>
          </cell>
          <cell r="C10" t="str">
            <v>Boise Independent</v>
          </cell>
          <cell r="D10">
            <v>1147.67</v>
          </cell>
          <cell r="E10">
            <v>587.21</v>
          </cell>
          <cell r="F10">
            <v>560.46</v>
          </cell>
          <cell r="H10">
            <v>1229.69</v>
          </cell>
        </row>
        <row r="11">
          <cell r="A11">
            <v>2</v>
          </cell>
          <cell r="B11">
            <v>2</v>
          </cell>
          <cell r="C11" t="str">
            <v>West Ada Joint</v>
          </cell>
          <cell r="D11">
            <v>827.6</v>
          </cell>
          <cell r="E11">
            <v>606.54</v>
          </cell>
          <cell r="F11">
            <v>221.06000000000006</v>
          </cell>
          <cell r="H11">
            <v>800.32</v>
          </cell>
        </row>
        <row r="12">
          <cell r="A12">
            <v>3</v>
          </cell>
          <cell r="B12">
            <v>3</v>
          </cell>
          <cell r="C12" t="str">
            <v>Kuna Joint</v>
          </cell>
          <cell r="D12">
            <v>729.03</v>
          </cell>
          <cell r="E12">
            <v>532</v>
          </cell>
          <cell r="F12">
            <v>197.02999999999997</v>
          </cell>
          <cell r="H12">
            <v>873.11</v>
          </cell>
        </row>
        <row r="13">
          <cell r="A13">
            <v>11</v>
          </cell>
          <cell r="B13">
            <v>11</v>
          </cell>
          <cell r="C13" t="str">
            <v>Meadows Valley</v>
          </cell>
          <cell r="D13">
            <v>1215.5899999999999</v>
          </cell>
          <cell r="E13">
            <v>919.41</v>
          </cell>
          <cell r="F13">
            <v>296.17999999999995</v>
          </cell>
          <cell r="H13">
            <v>1560.94</v>
          </cell>
        </row>
        <row r="14">
          <cell r="A14">
            <v>13</v>
          </cell>
          <cell r="B14">
            <v>13</v>
          </cell>
          <cell r="C14" t="str">
            <v>Council</v>
          </cell>
          <cell r="D14">
            <v>897.47</v>
          </cell>
          <cell r="E14">
            <v>761.78</v>
          </cell>
          <cell r="F14">
            <v>135.69000000000005</v>
          </cell>
          <cell r="H14">
            <v>1027.7</v>
          </cell>
        </row>
        <row r="15">
          <cell r="A15">
            <v>21</v>
          </cell>
          <cell r="B15">
            <v>21</v>
          </cell>
          <cell r="C15" t="str">
            <v>Marsh Valley Joint</v>
          </cell>
          <cell r="D15">
            <v>743.74</v>
          </cell>
          <cell r="E15">
            <v>631.27</v>
          </cell>
          <cell r="F15">
            <v>112.47000000000003</v>
          </cell>
          <cell r="H15">
            <v>801.7</v>
          </cell>
        </row>
        <row r="16">
          <cell r="A16">
            <v>25</v>
          </cell>
          <cell r="B16">
            <v>25</v>
          </cell>
          <cell r="C16" t="str">
            <v>Pocatello</v>
          </cell>
          <cell r="D16">
            <v>708.47</v>
          </cell>
          <cell r="E16">
            <v>584.94000000000005</v>
          </cell>
          <cell r="F16">
            <v>123.52999999999997</v>
          </cell>
          <cell r="H16">
            <v>719.7</v>
          </cell>
        </row>
        <row r="17">
          <cell r="A17">
            <v>33</v>
          </cell>
          <cell r="B17">
            <v>33</v>
          </cell>
          <cell r="C17" t="str">
            <v>Bear Lake County</v>
          </cell>
          <cell r="D17">
            <v>613.91</v>
          </cell>
          <cell r="E17">
            <v>524.01</v>
          </cell>
          <cell r="F17">
            <v>89.899999999999977</v>
          </cell>
          <cell r="H17">
            <v>891.15</v>
          </cell>
        </row>
        <row r="18">
          <cell r="A18">
            <v>41</v>
          </cell>
          <cell r="B18">
            <v>41</v>
          </cell>
          <cell r="C18" t="str">
            <v>St. Maries Joint</v>
          </cell>
          <cell r="D18">
            <v>1002.51</v>
          </cell>
          <cell r="E18">
            <v>667.93</v>
          </cell>
          <cell r="F18">
            <v>334.58000000000004</v>
          </cell>
          <cell r="H18">
            <v>1088.01</v>
          </cell>
        </row>
        <row r="19">
          <cell r="A19">
            <v>44</v>
          </cell>
          <cell r="B19">
            <v>44</v>
          </cell>
          <cell r="C19" t="str">
            <v>Plummer / Worley Joint</v>
          </cell>
          <cell r="D19">
            <v>1441.92</v>
          </cell>
          <cell r="E19">
            <v>739.94</v>
          </cell>
          <cell r="F19">
            <v>701.98</v>
          </cell>
          <cell r="H19">
            <v>1644.7</v>
          </cell>
        </row>
        <row r="20">
          <cell r="A20">
            <v>52</v>
          </cell>
          <cell r="B20">
            <v>52</v>
          </cell>
          <cell r="C20" t="str">
            <v>Snake River</v>
          </cell>
          <cell r="D20">
            <v>624.19000000000005</v>
          </cell>
          <cell r="E20">
            <v>533.53</v>
          </cell>
          <cell r="F20">
            <v>90.660000000000082</v>
          </cell>
          <cell r="H20">
            <v>661.33</v>
          </cell>
        </row>
        <row r="21">
          <cell r="A21">
            <v>55</v>
          </cell>
          <cell r="B21">
            <v>55</v>
          </cell>
          <cell r="C21" t="str">
            <v>Blackfoot</v>
          </cell>
          <cell r="D21">
            <v>787.33</v>
          </cell>
          <cell r="E21">
            <v>601.98</v>
          </cell>
          <cell r="F21">
            <v>185.35000000000002</v>
          </cell>
          <cell r="H21">
            <v>776.67</v>
          </cell>
        </row>
        <row r="22">
          <cell r="A22">
            <v>58</v>
          </cell>
          <cell r="B22">
            <v>58</v>
          </cell>
          <cell r="C22" t="str">
            <v>Aberdeen</v>
          </cell>
          <cell r="D22">
            <v>1010.92</v>
          </cell>
          <cell r="E22">
            <v>630.20000000000005</v>
          </cell>
          <cell r="F22">
            <v>380.71999999999991</v>
          </cell>
          <cell r="H22">
            <v>1183.68</v>
          </cell>
        </row>
        <row r="23">
          <cell r="A23">
            <v>59</v>
          </cell>
          <cell r="B23">
            <v>59</v>
          </cell>
          <cell r="C23" t="str">
            <v>Firth</v>
          </cell>
          <cell r="D23">
            <v>672.66</v>
          </cell>
          <cell r="E23">
            <v>598.02</v>
          </cell>
          <cell r="F23">
            <v>74.639999999999986</v>
          </cell>
          <cell r="H23">
            <v>747.05</v>
          </cell>
        </row>
        <row r="24">
          <cell r="A24">
            <v>60</v>
          </cell>
          <cell r="B24">
            <v>60</v>
          </cell>
          <cell r="C24" t="str">
            <v>Shelley Joint</v>
          </cell>
          <cell r="D24">
            <v>696.26</v>
          </cell>
          <cell r="E24">
            <v>545.14</v>
          </cell>
          <cell r="F24">
            <v>151.12</v>
          </cell>
          <cell r="H24">
            <v>783.15</v>
          </cell>
        </row>
        <row r="25">
          <cell r="A25">
            <v>61</v>
          </cell>
          <cell r="B25">
            <v>61</v>
          </cell>
          <cell r="C25" t="str">
            <v>Blaine County</v>
          </cell>
          <cell r="D25">
            <v>1945.39</v>
          </cell>
          <cell r="E25">
            <v>601.52</v>
          </cell>
          <cell r="F25">
            <v>1343.8700000000001</v>
          </cell>
          <cell r="H25">
            <v>1960.77</v>
          </cell>
        </row>
        <row r="26">
          <cell r="A26">
            <v>71</v>
          </cell>
          <cell r="B26">
            <v>71</v>
          </cell>
          <cell r="C26" t="str">
            <v>Garden Valley</v>
          </cell>
          <cell r="D26">
            <v>1142.25</v>
          </cell>
          <cell r="E26">
            <v>684.99</v>
          </cell>
          <cell r="F26">
            <v>457.26</v>
          </cell>
          <cell r="H26">
            <v>1512.61</v>
          </cell>
        </row>
        <row r="27">
          <cell r="A27">
            <v>72</v>
          </cell>
          <cell r="B27">
            <v>72</v>
          </cell>
          <cell r="C27" t="str">
            <v>Basin</v>
          </cell>
          <cell r="D27">
            <v>1009.59</v>
          </cell>
          <cell r="E27">
            <v>756.82</v>
          </cell>
          <cell r="F27">
            <v>252.76999999999998</v>
          </cell>
          <cell r="H27">
            <v>1141.82</v>
          </cell>
        </row>
        <row r="28">
          <cell r="A28">
            <v>73</v>
          </cell>
          <cell r="B28">
            <v>73</v>
          </cell>
          <cell r="C28" t="str">
            <v>Horseshoe Bend</v>
          </cell>
          <cell r="D28">
            <v>1189.45</v>
          </cell>
          <cell r="E28">
            <v>852.5</v>
          </cell>
          <cell r="F28">
            <v>336.95000000000005</v>
          </cell>
          <cell r="H28">
            <v>1388.82</v>
          </cell>
        </row>
        <row r="29">
          <cell r="A29">
            <v>83</v>
          </cell>
          <cell r="B29">
            <v>83</v>
          </cell>
          <cell r="C29" t="str">
            <v>West Bonner County</v>
          </cell>
          <cell r="D29">
            <v>1008.24</v>
          </cell>
          <cell r="E29">
            <v>582.46</v>
          </cell>
          <cell r="F29">
            <v>425.78</v>
          </cell>
          <cell r="H29">
            <v>1292.8599999999999</v>
          </cell>
        </row>
        <row r="30">
          <cell r="A30">
            <v>84</v>
          </cell>
          <cell r="B30">
            <v>84</v>
          </cell>
          <cell r="C30" t="str">
            <v>Lake Pend Oreille</v>
          </cell>
          <cell r="D30">
            <v>1011.3</v>
          </cell>
          <cell r="E30">
            <v>587.41</v>
          </cell>
          <cell r="F30">
            <v>423.89</v>
          </cell>
          <cell r="H30">
            <v>1120.25</v>
          </cell>
        </row>
        <row r="31">
          <cell r="A31">
            <v>91</v>
          </cell>
          <cell r="B31">
            <v>91</v>
          </cell>
          <cell r="C31" t="str">
            <v>Idaho Falls</v>
          </cell>
          <cell r="D31">
            <v>764.63</v>
          </cell>
          <cell r="E31">
            <v>577.74</v>
          </cell>
          <cell r="F31">
            <v>186.89</v>
          </cell>
          <cell r="H31">
            <v>791.89</v>
          </cell>
        </row>
        <row r="32">
          <cell r="A32">
            <v>92</v>
          </cell>
          <cell r="B32">
            <v>92</v>
          </cell>
          <cell r="C32" t="str">
            <v>Swan Valley Elementary</v>
          </cell>
          <cell r="D32">
            <v>1468.57</v>
          </cell>
          <cell r="E32">
            <v>918.21</v>
          </cell>
          <cell r="F32">
            <v>550.3599999999999</v>
          </cell>
          <cell r="H32">
            <v>1468.57</v>
          </cell>
        </row>
        <row r="33">
          <cell r="A33">
            <v>93</v>
          </cell>
          <cell r="B33">
            <v>93</v>
          </cell>
          <cell r="C33" t="str">
            <v>Bonneville Joint</v>
          </cell>
          <cell r="D33">
            <v>725.63</v>
          </cell>
          <cell r="E33">
            <v>540.80999999999995</v>
          </cell>
          <cell r="F33">
            <v>184.82000000000005</v>
          </cell>
          <cell r="H33">
            <v>803.39</v>
          </cell>
        </row>
        <row r="34">
          <cell r="A34">
            <v>101</v>
          </cell>
          <cell r="B34">
            <v>101</v>
          </cell>
          <cell r="C34" t="str">
            <v>Boundary County</v>
          </cell>
          <cell r="D34">
            <v>828.61</v>
          </cell>
          <cell r="E34">
            <v>580.71</v>
          </cell>
          <cell r="F34">
            <v>247.89999999999998</v>
          </cell>
          <cell r="H34">
            <v>979.87</v>
          </cell>
        </row>
        <row r="35">
          <cell r="A35">
            <v>111</v>
          </cell>
          <cell r="B35">
            <v>111</v>
          </cell>
          <cell r="C35" t="str">
            <v>Butte County</v>
          </cell>
          <cell r="D35">
            <v>1002.02</v>
          </cell>
          <cell r="E35">
            <v>796.39</v>
          </cell>
          <cell r="F35">
            <v>205.63</v>
          </cell>
          <cell r="H35">
            <v>1082.81</v>
          </cell>
        </row>
        <row r="36">
          <cell r="A36">
            <v>121</v>
          </cell>
          <cell r="B36">
            <v>121</v>
          </cell>
          <cell r="C36" t="str">
            <v>Camas County</v>
          </cell>
          <cell r="D36">
            <v>1536.53</v>
          </cell>
          <cell r="E36">
            <v>1096.25</v>
          </cell>
          <cell r="F36">
            <v>440.28</v>
          </cell>
          <cell r="H36">
            <v>1250.3499999999999</v>
          </cell>
        </row>
        <row r="37">
          <cell r="A37">
            <v>131</v>
          </cell>
          <cell r="B37">
            <v>131</v>
          </cell>
          <cell r="C37" t="str">
            <v>Nampa</v>
          </cell>
          <cell r="D37">
            <v>808.17</v>
          </cell>
          <cell r="E37">
            <v>557.70000000000005</v>
          </cell>
          <cell r="F37">
            <v>250.46999999999991</v>
          </cell>
          <cell r="H37">
            <v>899.18</v>
          </cell>
        </row>
        <row r="38">
          <cell r="A38">
            <v>132</v>
          </cell>
          <cell r="B38">
            <v>132</v>
          </cell>
          <cell r="C38" t="str">
            <v>Caldwell</v>
          </cell>
          <cell r="D38">
            <v>794.49</v>
          </cell>
          <cell r="E38">
            <v>569.16</v>
          </cell>
          <cell r="F38">
            <v>225.33000000000004</v>
          </cell>
          <cell r="H38">
            <v>860.25</v>
          </cell>
        </row>
        <row r="39">
          <cell r="A39">
            <v>133</v>
          </cell>
          <cell r="B39">
            <v>133</v>
          </cell>
          <cell r="C39" t="str">
            <v>Wilder</v>
          </cell>
          <cell r="D39">
            <v>978.98</v>
          </cell>
          <cell r="E39">
            <v>658.75</v>
          </cell>
          <cell r="F39">
            <v>320.23</v>
          </cell>
          <cell r="H39">
            <v>1142.33</v>
          </cell>
        </row>
        <row r="40">
          <cell r="A40">
            <v>134</v>
          </cell>
          <cell r="B40">
            <v>134</v>
          </cell>
          <cell r="C40" t="str">
            <v>Middleton</v>
          </cell>
          <cell r="D40">
            <v>693.06</v>
          </cell>
          <cell r="E40">
            <v>535.49</v>
          </cell>
          <cell r="F40">
            <v>157.56999999999994</v>
          </cell>
          <cell r="H40">
            <v>761.14</v>
          </cell>
        </row>
        <row r="41">
          <cell r="A41">
            <v>135</v>
          </cell>
          <cell r="B41">
            <v>135</v>
          </cell>
          <cell r="C41" t="str">
            <v>Notus</v>
          </cell>
          <cell r="D41">
            <v>1037.48</v>
          </cell>
          <cell r="E41">
            <v>778.76</v>
          </cell>
          <cell r="F41">
            <v>258.72000000000003</v>
          </cell>
          <cell r="H41">
            <v>1416.28</v>
          </cell>
        </row>
        <row r="42">
          <cell r="A42">
            <v>136</v>
          </cell>
          <cell r="B42">
            <v>136</v>
          </cell>
          <cell r="C42" t="str">
            <v>Melba Joint</v>
          </cell>
          <cell r="D42">
            <v>737.59</v>
          </cell>
          <cell r="E42">
            <v>597.4</v>
          </cell>
          <cell r="F42">
            <v>140.19000000000005</v>
          </cell>
          <cell r="H42">
            <v>838.21</v>
          </cell>
        </row>
        <row r="43">
          <cell r="A43">
            <v>137</v>
          </cell>
          <cell r="B43">
            <v>137</v>
          </cell>
          <cell r="C43" t="str">
            <v>Parma</v>
          </cell>
          <cell r="D43">
            <v>701.53</v>
          </cell>
          <cell r="E43">
            <v>492.48</v>
          </cell>
          <cell r="F43">
            <v>209.04999999999995</v>
          </cell>
          <cell r="H43">
            <v>1079.17</v>
          </cell>
        </row>
        <row r="44">
          <cell r="A44">
            <v>139</v>
          </cell>
          <cell r="B44">
            <v>139</v>
          </cell>
          <cell r="C44" t="str">
            <v>Vallivue</v>
          </cell>
          <cell r="D44">
            <v>838</v>
          </cell>
          <cell r="E44">
            <v>542.1</v>
          </cell>
          <cell r="F44">
            <v>295.89999999999998</v>
          </cell>
          <cell r="H44">
            <v>974.96</v>
          </cell>
        </row>
        <row r="45">
          <cell r="A45">
            <v>148</v>
          </cell>
          <cell r="B45">
            <v>148</v>
          </cell>
          <cell r="C45" t="str">
            <v>Grace Joint</v>
          </cell>
          <cell r="D45">
            <v>878.56</v>
          </cell>
          <cell r="E45">
            <v>707.24</v>
          </cell>
          <cell r="F45">
            <v>171.31999999999994</v>
          </cell>
          <cell r="H45">
            <v>1017.62</v>
          </cell>
        </row>
        <row r="46">
          <cell r="A46">
            <v>149</v>
          </cell>
          <cell r="B46">
            <v>149</v>
          </cell>
          <cell r="C46" t="str">
            <v>North Gem</v>
          </cell>
          <cell r="D46">
            <v>1367.25</v>
          </cell>
          <cell r="E46">
            <v>960.12</v>
          </cell>
          <cell r="F46">
            <v>407.13</v>
          </cell>
          <cell r="H46">
            <v>1764.1</v>
          </cell>
        </row>
        <row r="47">
          <cell r="A47">
            <v>150</v>
          </cell>
          <cell r="B47">
            <v>150</v>
          </cell>
          <cell r="C47" t="str">
            <v>Soda Springs Joint</v>
          </cell>
          <cell r="D47">
            <v>854.82</v>
          </cell>
          <cell r="E47">
            <v>642.9</v>
          </cell>
          <cell r="F47">
            <v>211.92000000000007</v>
          </cell>
          <cell r="H47">
            <v>1094.75</v>
          </cell>
        </row>
        <row r="48">
          <cell r="A48">
            <v>151</v>
          </cell>
          <cell r="B48">
            <v>151</v>
          </cell>
          <cell r="C48" t="str">
            <v>Cassia County Joint</v>
          </cell>
          <cell r="D48">
            <v>670.97</v>
          </cell>
          <cell r="E48">
            <v>485.25</v>
          </cell>
          <cell r="F48">
            <v>185.72000000000003</v>
          </cell>
          <cell r="H48">
            <v>953.04</v>
          </cell>
        </row>
        <row r="49">
          <cell r="A49">
            <v>161</v>
          </cell>
          <cell r="B49">
            <v>161</v>
          </cell>
          <cell r="C49" t="str">
            <v>Clark County Joint</v>
          </cell>
          <cell r="D49">
            <v>1487.5</v>
          </cell>
          <cell r="E49">
            <v>1080.75</v>
          </cell>
          <cell r="F49">
            <v>406.75</v>
          </cell>
          <cell r="H49">
            <v>2271.67</v>
          </cell>
        </row>
        <row r="50">
          <cell r="A50">
            <v>171</v>
          </cell>
          <cell r="B50">
            <v>171</v>
          </cell>
          <cell r="C50" t="str">
            <v>Orofino Joint</v>
          </cell>
          <cell r="D50">
            <v>1061.1600000000001</v>
          </cell>
          <cell r="E50">
            <v>861.34</v>
          </cell>
          <cell r="F50">
            <v>199.82000000000005</v>
          </cell>
          <cell r="H50">
            <v>875.68</v>
          </cell>
        </row>
        <row r="51">
          <cell r="A51">
            <v>181</v>
          </cell>
          <cell r="B51">
            <v>181</v>
          </cell>
          <cell r="C51" t="str">
            <v>Challis Joint</v>
          </cell>
          <cell r="D51">
            <v>1246.76</v>
          </cell>
          <cell r="E51">
            <v>792.68</v>
          </cell>
          <cell r="F51">
            <v>454.08000000000004</v>
          </cell>
          <cell r="H51">
            <v>1368.27</v>
          </cell>
        </row>
        <row r="52">
          <cell r="A52">
            <v>182</v>
          </cell>
          <cell r="B52">
            <v>182</v>
          </cell>
          <cell r="C52" t="str">
            <v>Mackay Joint</v>
          </cell>
          <cell r="D52">
            <v>1215.05</v>
          </cell>
          <cell r="E52">
            <v>821.26</v>
          </cell>
          <cell r="F52">
            <v>393.78999999999996</v>
          </cell>
          <cell r="H52">
            <v>1279.82</v>
          </cell>
        </row>
        <row r="53">
          <cell r="A53">
            <v>191</v>
          </cell>
          <cell r="B53">
            <v>191</v>
          </cell>
          <cell r="C53" t="str">
            <v>Prairie Elementary</v>
          </cell>
          <cell r="D53">
            <v>3067.3</v>
          </cell>
          <cell r="E53">
            <v>2283.98</v>
          </cell>
          <cell r="F53">
            <v>783.32000000000016</v>
          </cell>
          <cell r="H53">
            <v>3067.3</v>
          </cell>
        </row>
        <row r="54">
          <cell r="A54">
            <v>192</v>
          </cell>
          <cell r="B54">
            <v>192</v>
          </cell>
          <cell r="C54" t="str">
            <v>Glenns Ferry Joint</v>
          </cell>
          <cell r="D54">
            <v>1011.51</v>
          </cell>
          <cell r="E54">
            <v>730.33</v>
          </cell>
          <cell r="F54">
            <v>281.17999999999995</v>
          </cell>
          <cell r="H54">
            <v>1211</v>
          </cell>
        </row>
        <row r="55">
          <cell r="A55">
            <v>193</v>
          </cell>
          <cell r="B55">
            <v>193</v>
          </cell>
          <cell r="C55" t="str">
            <v>Mountain Home</v>
          </cell>
          <cell r="D55">
            <v>720.92</v>
          </cell>
          <cell r="E55">
            <v>553.28</v>
          </cell>
          <cell r="F55">
            <v>167.64</v>
          </cell>
          <cell r="H55">
            <v>822.4</v>
          </cell>
        </row>
        <row r="56">
          <cell r="A56">
            <v>201</v>
          </cell>
          <cell r="B56">
            <v>201</v>
          </cell>
          <cell r="C56" t="str">
            <v>Preston Joint</v>
          </cell>
          <cell r="D56">
            <v>707.24</v>
          </cell>
          <cell r="E56">
            <v>581.08000000000004</v>
          </cell>
          <cell r="F56">
            <v>126.15999999999997</v>
          </cell>
          <cell r="H56">
            <v>710.09</v>
          </cell>
        </row>
        <row r="57">
          <cell r="A57">
            <v>202</v>
          </cell>
          <cell r="B57">
            <v>202</v>
          </cell>
          <cell r="C57" t="str">
            <v>West Side Joint</v>
          </cell>
          <cell r="D57">
            <v>655.49</v>
          </cell>
          <cell r="E57">
            <v>595.41</v>
          </cell>
          <cell r="F57">
            <v>60.080000000000041</v>
          </cell>
          <cell r="H57">
            <v>799.32</v>
          </cell>
        </row>
        <row r="58">
          <cell r="A58">
            <v>215</v>
          </cell>
          <cell r="B58">
            <v>215</v>
          </cell>
          <cell r="C58" t="str">
            <v>Fremont County Joint</v>
          </cell>
          <cell r="D58">
            <v>984.02</v>
          </cell>
          <cell r="E58">
            <v>662.35</v>
          </cell>
          <cell r="F58">
            <v>321.66999999999996</v>
          </cell>
          <cell r="H58">
            <v>960.18</v>
          </cell>
        </row>
        <row r="59">
          <cell r="A59">
            <v>221</v>
          </cell>
          <cell r="B59">
            <v>221</v>
          </cell>
          <cell r="C59" t="str">
            <v>Emmett Independent</v>
          </cell>
          <cell r="D59">
            <v>758.88</v>
          </cell>
          <cell r="E59">
            <v>598.02</v>
          </cell>
          <cell r="F59">
            <v>160.86000000000001</v>
          </cell>
          <cell r="H59">
            <v>814.82</v>
          </cell>
        </row>
        <row r="60">
          <cell r="A60">
            <v>231</v>
          </cell>
          <cell r="B60">
            <v>231</v>
          </cell>
          <cell r="C60" t="str">
            <v>Gooding Joint</v>
          </cell>
          <cell r="D60">
            <v>736.32</v>
          </cell>
          <cell r="E60">
            <v>554.77</v>
          </cell>
          <cell r="F60">
            <v>181.55000000000007</v>
          </cell>
          <cell r="H60">
            <v>912.52</v>
          </cell>
        </row>
        <row r="61">
          <cell r="A61">
            <v>232</v>
          </cell>
          <cell r="B61">
            <v>232</v>
          </cell>
          <cell r="C61" t="str">
            <v>Wendell</v>
          </cell>
          <cell r="D61">
            <v>795.93</v>
          </cell>
          <cell r="E61">
            <v>595.91999999999996</v>
          </cell>
          <cell r="F61">
            <v>200.01</v>
          </cell>
          <cell r="H61">
            <v>902.4</v>
          </cell>
        </row>
        <row r="62">
          <cell r="A62">
            <v>233</v>
          </cell>
          <cell r="B62">
            <v>233</v>
          </cell>
          <cell r="C62" t="str">
            <v>Hagerman Joint</v>
          </cell>
          <cell r="D62">
            <v>816.48</v>
          </cell>
          <cell r="E62">
            <v>635.98</v>
          </cell>
          <cell r="F62">
            <v>180.5</v>
          </cell>
          <cell r="H62">
            <v>1134.3</v>
          </cell>
        </row>
        <row r="63">
          <cell r="A63">
            <v>234</v>
          </cell>
          <cell r="B63">
            <v>234</v>
          </cell>
          <cell r="C63" t="str">
            <v>Bliss Joint</v>
          </cell>
          <cell r="D63">
            <v>1754.54</v>
          </cell>
          <cell r="E63">
            <v>1482.72</v>
          </cell>
          <cell r="F63">
            <v>271.81999999999994</v>
          </cell>
          <cell r="H63">
            <v>2025.42</v>
          </cell>
        </row>
        <row r="64">
          <cell r="A64">
            <v>242</v>
          </cell>
          <cell r="B64">
            <v>242</v>
          </cell>
          <cell r="C64" t="str">
            <v>Cottonwood Joint</v>
          </cell>
          <cell r="D64">
            <v>959.43</v>
          </cell>
          <cell r="E64">
            <v>736</v>
          </cell>
          <cell r="F64">
            <v>223.42999999999995</v>
          </cell>
          <cell r="H64">
            <v>1108.18</v>
          </cell>
        </row>
        <row r="65">
          <cell r="A65">
            <v>243</v>
          </cell>
          <cell r="B65">
            <v>243</v>
          </cell>
          <cell r="C65" t="str">
            <v>Salmon River Joint</v>
          </cell>
          <cell r="D65">
            <v>1828.95</v>
          </cell>
          <cell r="E65">
            <v>1187.33</v>
          </cell>
          <cell r="F65">
            <v>641.62000000000012</v>
          </cell>
          <cell r="H65">
            <v>2410.87</v>
          </cell>
        </row>
        <row r="66">
          <cell r="A66">
            <v>244</v>
          </cell>
          <cell r="B66">
            <v>244</v>
          </cell>
          <cell r="C66" t="str">
            <v>Mountain View</v>
          </cell>
          <cell r="D66">
            <v>1055.3800000000001</v>
          </cell>
          <cell r="E66">
            <v>719.92</v>
          </cell>
          <cell r="F66">
            <v>335.46000000000015</v>
          </cell>
          <cell r="H66">
            <v>1067.8699999999999</v>
          </cell>
        </row>
        <row r="67">
          <cell r="A67">
            <v>251</v>
          </cell>
          <cell r="B67">
            <v>251</v>
          </cell>
          <cell r="C67" t="str">
            <v>Jefferson County Joint</v>
          </cell>
          <cell r="D67">
            <v>661.79</v>
          </cell>
          <cell r="E67">
            <v>486.23</v>
          </cell>
          <cell r="F67">
            <v>175.55999999999995</v>
          </cell>
          <cell r="H67">
            <v>835.99</v>
          </cell>
        </row>
        <row r="68">
          <cell r="A68">
            <v>252</v>
          </cell>
          <cell r="B68">
            <v>252</v>
          </cell>
          <cell r="C68" t="str">
            <v>Ririe Joint</v>
          </cell>
          <cell r="D68">
            <v>779.58</v>
          </cell>
          <cell r="E68">
            <v>618.82000000000005</v>
          </cell>
          <cell r="F68">
            <v>160.76</v>
          </cell>
          <cell r="H68">
            <v>853.17</v>
          </cell>
        </row>
        <row r="69">
          <cell r="A69">
            <v>253</v>
          </cell>
          <cell r="B69">
            <v>253</v>
          </cell>
          <cell r="C69" t="str">
            <v>West Jefferson</v>
          </cell>
          <cell r="D69">
            <v>966.21</v>
          </cell>
          <cell r="E69">
            <v>717.82</v>
          </cell>
          <cell r="F69">
            <v>248.39</v>
          </cell>
          <cell r="H69">
            <v>1030.98</v>
          </cell>
        </row>
        <row r="70">
          <cell r="A70">
            <v>261</v>
          </cell>
          <cell r="B70">
            <v>261</v>
          </cell>
          <cell r="C70" t="str">
            <v>Jerome Joint</v>
          </cell>
          <cell r="D70">
            <v>769.17</v>
          </cell>
          <cell r="E70">
            <v>555.6</v>
          </cell>
          <cell r="F70">
            <v>213.56999999999994</v>
          </cell>
          <cell r="H70">
            <v>878.09</v>
          </cell>
        </row>
        <row r="71">
          <cell r="A71">
            <v>262</v>
          </cell>
          <cell r="B71">
            <v>262</v>
          </cell>
          <cell r="C71" t="str">
            <v>Valley</v>
          </cell>
          <cell r="D71">
            <v>852.64</v>
          </cell>
          <cell r="E71">
            <v>664.03</v>
          </cell>
          <cell r="F71">
            <v>188.61</v>
          </cell>
          <cell r="H71">
            <v>1090.76</v>
          </cell>
        </row>
        <row r="72">
          <cell r="A72">
            <v>271</v>
          </cell>
          <cell r="B72">
            <v>271</v>
          </cell>
          <cell r="C72" t="str">
            <v>Coeur d' Alene</v>
          </cell>
          <cell r="D72">
            <v>904.06</v>
          </cell>
          <cell r="E72">
            <v>569.57000000000005</v>
          </cell>
          <cell r="F72">
            <v>334.4899999999999</v>
          </cell>
          <cell r="H72">
            <v>944.72</v>
          </cell>
        </row>
        <row r="73">
          <cell r="A73">
            <v>272</v>
          </cell>
          <cell r="B73">
            <v>272</v>
          </cell>
          <cell r="C73" t="str">
            <v>Lakeland</v>
          </cell>
          <cell r="D73">
            <v>829.58</v>
          </cell>
          <cell r="E73">
            <v>546.42999999999995</v>
          </cell>
          <cell r="F73">
            <v>283.15000000000009</v>
          </cell>
          <cell r="H73">
            <v>946.02</v>
          </cell>
        </row>
        <row r="74">
          <cell r="A74">
            <v>273</v>
          </cell>
          <cell r="B74">
            <v>273</v>
          </cell>
          <cell r="C74" t="str">
            <v>Post Falls</v>
          </cell>
          <cell r="D74">
            <v>742.89</v>
          </cell>
          <cell r="E74">
            <v>551.96</v>
          </cell>
          <cell r="F74">
            <v>190.92999999999995</v>
          </cell>
          <cell r="H74">
            <v>827.49</v>
          </cell>
        </row>
        <row r="75">
          <cell r="A75">
            <v>274</v>
          </cell>
          <cell r="B75">
            <v>274</v>
          </cell>
          <cell r="C75" t="str">
            <v>Kootenai Joint</v>
          </cell>
          <cell r="D75">
            <v>1608.83</v>
          </cell>
          <cell r="E75">
            <v>865.38</v>
          </cell>
          <cell r="F75">
            <v>743.44999999999993</v>
          </cell>
          <cell r="H75">
            <v>2325.91</v>
          </cell>
        </row>
        <row r="76">
          <cell r="A76">
            <v>281</v>
          </cell>
          <cell r="B76">
            <v>281</v>
          </cell>
          <cell r="C76" t="str">
            <v>Moscow</v>
          </cell>
          <cell r="D76">
            <v>1298.82</v>
          </cell>
          <cell r="E76">
            <v>602.33000000000004</v>
          </cell>
          <cell r="F76">
            <v>696.4899999999999</v>
          </cell>
          <cell r="H76">
            <v>1267.42</v>
          </cell>
        </row>
        <row r="77">
          <cell r="A77">
            <v>282</v>
          </cell>
          <cell r="B77">
            <v>282</v>
          </cell>
          <cell r="C77" t="str">
            <v>Genesee Joint</v>
          </cell>
          <cell r="D77">
            <v>1306.01</v>
          </cell>
          <cell r="E77">
            <v>795.11</v>
          </cell>
          <cell r="F77">
            <v>510.9</v>
          </cell>
          <cell r="H77">
            <v>1581.81</v>
          </cell>
        </row>
        <row r="78">
          <cell r="A78">
            <v>283</v>
          </cell>
          <cell r="B78">
            <v>283</v>
          </cell>
          <cell r="C78" t="str">
            <v>Kendrick Joint</v>
          </cell>
          <cell r="D78">
            <v>1286.3499999999999</v>
          </cell>
          <cell r="E78">
            <v>823.94</v>
          </cell>
          <cell r="F78">
            <v>462.40999999999985</v>
          </cell>
          <cell r="H78">
            <v>1390.99</v>
          </cell>
        </row>
        <row r="79">
          <cell r="A79">
            <v>285</v>
          </cell>
          <cell r="B79">
            <v>285</v>
          </cell>
          <cell r="C79" t="str">
            <v>Potlatch</v>
          </cell>
          <cell r="D79">
            <v>1191.94</v>
          </cell>
          <cell r="E79">
            <v>729.65</v>
          </cell>
          <cell r="F79">
            <v>462.29000000000008</v>
          </cell>
          <cell r="H79">
            <v>1323.34</v>
          </cell>
        </row>
        <row r="80">
          <cell r="A80">
            <v>287</v>
          </cell>
          <cell r="B80">
            <v>287</v>
          </cell>
          <cell r="C80" t="str">
            <v>Troy</v>
          </cell>
          <cell r="D80">
            <v>1248.83</v>
          </cell>
          <cell r="E80">
            <v>747.49</v>
          </cell>
          <cell r="F80">
            <v>501.33999999999992</v>
          </cell>
          <cell r="H80">
            <v>1572.07</v>
          </cell>
        </row>
        <row r="81">
          <cell r="A81">
            <v>288</v>
          </cell>
          <cell r="B81">
            <v>288</v>
          </cell>
          <cell r="C81" t="str">
            <v>Whitepine Joint</v>
          </cell>
          <cell r="D81">
            <v>1693.42</v>
          </cell>
          <cell r="E81">
            <v>997.63</v>
          </cell>
          <cell r="F81">
            <v>695.79000000000008</v>
          </cell>
          <cell r="H81">
            <v>1587.92</v>
          </cell>
        </row>
        <row r="82">
          <cell r="A82">
            <v>291</v>
          </cell>
          <cell r="B82">
            <v>291</v>
          </cell>
          <cell r="C82" t="str">
            <v>Salmon</v>
          </cell>
          <cell r="D82">
            <v>764.41</v>
          </cell>
          <cell r="E82">
            <v>670.98</v>
          </cell>
          <cell r="F82">
            <v>93.42999999999995</v>
          </cell>
          <cell r="H82">
            <v>893.21</v>
          </cell>
        </row>
        <row r="83">
          <cell r="A83">
            <v>292</v>
          </cell>
          <cell r="B83">
            <v>292</v>
          </cell>
          <cell r="C83" t="str">
            <v>South Lemhi</v>
          </cell>
          <cell r="D83">
            <v>1374.85</v>
          </cell>
          <cell r="E83">
            <v>1160.99</v>
          </cell>
          <cell r="F83">
            <v>213.8599999999999</v>
          </cell>
          <cell r="H83">
            <v>1977.3</v>
          </cell>
        </row>
        <row r="84">
          <cell r="A84">
            <v>302</v>
          </cell>
          <cell r="B84">
            <v>302</v>
          </cell>
          <cell r="C84" t="str">
            <v>Nezperce Joint</v>
          </cell>
          <cell r="D84">
            <v>1357.49</v>
          </cell>
          <cell r="E84">
            <v>953.65</v>
          </cell>
          <cell r="F84">
            <v>403.84000000000003</v>
          </cell>
          <cell r="H84">
            <v>1794.47</v>
          </cell>
        </row>
        <row r="85">
          <cell r="A85">
            <v>304</v>
          </cell>
          <cell r="B85">
            <v>304</v>
          </cell>
          <cell r="C85" t="str">
            <v>Kamiah Joint</v>
          </cell>
          <cell r="D85">
            <v>1299.8399999999999</v>
          </cell>
          <cell r="E85">
            <v>896.43</v>
          </cell>
          <cell r="F85">
            <v>403.40999999999997</v>
          </cell>
          <cell r="H85">
            <v>1032.1300000000001</v>
          </cell>
        </row>
        <row r="86">
          <cell r="A86">
            <v>305</v>
          </cell>
          <cell r="B86">
            <v>305</v>
          </cell>
          <cell r="C86" t="str">
            <v>Highland Joint</v>
          </cell>
          <cell r="D86">
            <v>1601.12</v>
          </cell>
          <cell r="E86">
            <v>1030.3399999999999</v>
          </cell>
          <cell r="F86">
            <v>570.78</v>
          </cell>
          <cell r="H86">
            <v>1803.24</v>
          </cell>
        </row>
        <row r="87">
          <cell r="A87">
            <v>312</v>
          </cell>
          <cell r="B87">
            <v>312</v>
          </cell>
          <cell r="C87" t="str">
            <v>Shoshone Joint</v>
          </cell>
          <cell r="D87">
            <v>778.38</v>
          </cell>
          <cell r="E87">
            <v>641.86</v>
          </cell>
          <cell r="F87">
            <v>136.51999999999998</v>
          </cell>
          <cell r="H87">
            <v>1057.21</v>
          </cell>
        </row>
        <row r="88">
          <cell r="A88">
            <v>314</v>
          </cell>
          <cell r="B88">
            <v>314</v>
          </cell>
          <cell r="C88" t="str">
            <v>Dietrich</v>
          </cell>
          <cell r="D88">
            <v>1009.97</v>
          </cell>
          <cell r="E88">
            <v>809.98</v>
          </cell>
          <cell r="F88">
            <v>199.99</v>
          </cell>
          <cell r="H88">
            <v>1119.42</v>
          </cell>
        </row>
        <row r="89">
          <cell r="A89">
            <v>316</v>
          </cell>
          <cell r="B89">
            <v>316</v>
          </cell>
          <cell r="C89" t="str">
            <v>Richfield</v>
          </cell>
          <cell r="D89">
            <v>1283.73</v>
          </cell>
          <cell r="E89">
            <v>914.56</v>
          </cell>
          <cell r="F89">
            <v>369.17000000000007</v>
          </cell>
          <cell r="H89">
            <v>1466.48</v>
          </cell>
        </row>
        <row r="90">
          <cell r="A90">
            <v>321</v>
          </cell>
          <cell r="B90">
            <v>321</v>
          </cell>
          <cell r="C90" t="str">
            <v>Madison</v>
          </cell>
          <cell r="D90">
            <v>733.72</v>
          </cell>
          <cell r="E90">
            <v>550.45000000000005</v>
          </cell>
          <cell r="F90">
            <v>183.26999999999998</v>
          </cell>
          <cell r="H90">
            <v>817.78</v>
          </cell>
        </row>
        <row r="91">
          <cell r="A91">
            <v>322</v>
          </cell>
          <cell r="B91">
            <v>322</v>
          </cell>
          <cell r="C91" t="str">
            <v>Sugar-Salem Joint</v>
          </cell>
          <cell r="D91">
            <v>681.92</v>
          </cell>
          <cell r="E91">
            <v>587.45000000000005</v>
          </cell>
          <cell r="F91">
            <v>94.469999999999914</v>
          </cell>
          <cell r="H91">
            <v>756.96</v>
          </cell>
        </row>
        <row r="92">
          <cell r="A92">
            <v>331</v>
          </cell>
          <cell r="B92">
            <v>331</v>
          </cell>
          <cell r="C92" t="str">
            <v>Minidoka County Joint</v>
          </cell>
          <cell r="D92">
            <v>660.1</v>
          </cell>
          <cell r="E92">
            <v>502.04</v>
          </cell>
          <cell r="F92">
            <v>158.06</v>
          </cell>
          <cell r="H92">
            <v>924.13</v>
          </cell>
        </row>
        <row r="93">
          <cell r="A93">
            <v>340</v>
          </cell>
          <cell r="B93">
            <v>340</v>
          </cell>
          <cell r="C93" t="str">
            <v>Lewiston Independent</v>
          </cell>
          <cell r="D93">
            <v>1030.94</v>
          </cell>
          <cell r="E93">
            <v>529.37</v>
          </cell>
          <cell r="F93">
            <v>501.57000000000005</v>
          </cell>
          <cell r="H93">
            <v>1301.33</v>
          </cell>
        </row>
        <row r="94">
          <cell r="A94">
            <v>341</v>
          </cell>
          <cell r="B94">
            <v>341</v>
          </cell>
          <cell r="C94" t="str">
            <v>Lapwai</v>
          </cell>
          <cell r="D94">
            <v>1593.97</v>
          </cell>
          <cell r="E94">
            <v>737.56</v>
          </cell>
          <cell r="F94">
            <v>856.41000000000008</v>
          </cell>
          <cell r="H94">
            <v>1612.42</v>
          </cell>
        </row>
        <row r="95">
          <cell r="A95">
            <v>342</v>
          </cell>
          <cell r="B95">
            <v>342</v>
          </cell>
          <cell r="C95" t="str">
            <v>Culdesac Joint</v>
          </cell>
          <cell r="D95">
            <v>1782.83</v>
          </cell>
          <cell r="E95">
            <v>1305.97</v>
          </cell>
          <cell r="F95">
            <v>476.8599999999999</v>
          </cell>
          <cell r="H95">
            <v>2081.38</v>
          </cell>
        </row>
        <row r="96">
          <cell r="A96">
            <v>351</v>
          </cell>
          <cell r="B96">
            <v>351</v>
          </cell>
          <cell r="C96" t="str">
            <v>Oneida County</v>
          </cell>
          <cell r="D96">
            <v>86.35</v>
          </cell>
          <cell r="E96">
            <v>371.54</v>
          </cell>
          <cell r="F96">
            <v>0</v>
          </cell>
          <cell r="H96">
            <v>209.7</v>
          </cell>
        </row>
        <row r="97">
          <cell r="A97">
            <v>363</v>
          </cell>
          <cell r="B97">
            <v>363</v>
          </cell>
          <cell r="C97" t="str">
            <v>Marsing Joint</v>
          </cell>
          <cell r="D97">
            <v>819.98</v>
          </cell>
          <cell r="E97">
            <v>555.74</v>
          </cell>
          <cell r="F97">
            <v>264.24</v>
          </cell>
          <cell r="H97">
            <v>1118.19</v>
          </cell>
        </row>
        <row r="98">
          <cell r="A98">
            <v>364</v>
          </cell>
          <cell r="B98">
            <v>364</v>
          </cell>
          <cell r="C98" t="str">
            <v>Pleasant Valley Elementary</v>
          </cell>
          <cell r="D98">
            <v>1583.42</v>
          </cell>
          <cell r="E98">
            <v>1210.1099999999999</v>
          </cell>
          <cell r="F98">
            <v>373.31000000000017</v>
          </cell>
          <cell r="H98">
            <v>1583.42</v>
          </cell>
        </row>
        <row r="99">
          <cell r="A99">
            <v>365</v>
          </cell>
          <cell r="B99">
            <v>365</v>
          </cell>
          <cell r="C99" t="str">
            <v>Bruneau-Grand View Joint</v>
          </cell>
          <cell r="D99">
            <v>1821.12</v>
          </cell>
          <cell r="E99">
            <v>1328.52</v>
          </cell>
          <cell r="F99">
            <v>492.59999999999991</v>
          </cell>
          <cell r="H99">
            <v>1606.2</v>
          </cell>
        </row>
        <row r="100">
          <cell r="A100">
            <v>370</v>
          </cell>
          <cell r="B100">
            <v>370</v>
          </cell>
          <cell r="C100" t="str">
            <v>Homedale Joint</v>
          </cell>
          <cell r="D100">
            <v>690.92</v>
          </cell>
          <cell r="E100">
            <v>555.91999999999996</v>
          </cell>
          <cell r="F100">
            <v>135</v>
          </cell>
          <cell r="H100">
            <v>831.55</v>
          </cell>
        </row>
        <row r="101">
          <cell r="A101">
            <v>371</v>
          </cell>
          <cell r="B101">
            <v>371</v>
          </cell>
          <cell r="C101" t="str">
            <v>Payette Joint</v>
          </cell>
          <cell r="D101">
            <v>793.09</v>
          </cell>
          <cell r="E101">
            <v>597.78</v>
          </cell>
          <cell r="F101">
            <v>195.31000000000006</v>
          </cell>
          <cell r="H101">
            <v>851.11</v>
          </cell>
        </row>
        <row r="102">
          <cell r="A102">
            <v>372</v>
          </cell>
          <cell r="B102">
            <v>372</v>
          </cell>
          <cell r="C102" t="str">
            <v>New Plymouth</v>
          </cell>
          <cell r="D102">
            <v>831.67</v>
          </cell>
          <cell r="E102">
            <v>610.74</v>
          </cell>
          <cell r="F102">
            <v>220.92999999999995</v>
          </cell>
          <cell r="H102">
            <v>938.63</v>
          </cell>
        </row>
        <row r="103">
          <cell r="A103">
            <v>373</v>
          </cell>
          <cell r="B103">
            <v>373</v>
          </cell>
          <cell r="C103" t="str">
            <v>Fruitland</v>
          </cell>
          <cell r="D103">
            <v>663.58</v>
          </cell>
          <cell r="E103">
            <v>589.82000000000005</v>
          </cell>
          <cell r="F103">
            <v>73.759999999999991</v>
          </cell>
          <cell r="H103">
            <v>740.29</v>
          </cell>
        </row>
        <row r="104">
          <cell r="A104">
            <v>381</v>
          </cell>
          <cell r="B104">
            <v>381</v>
          </cell>
          <cell r="C104" t="str">
            <v>American Falls Joint</v>
          </cell>
          <cell r="D104">
            <v>959.41</v>
          </cell>
          <cell r="E104">
            <v>613.02</v>
          </cell>
          <cell r="F104">
            <v>346.39</v>
          </cell>
          <cell r="H104">
            <v>1015.44</v>
          </cell>
        </row>
        <row r="105">
          <cell r="A105">
            <v>382</v>
          </cell>
          <cell r="B105">
            <v>382</v>
          </cell>
          <cell r="C105" t="str">
            <v>Rockland</v>
          </cell>
          <cell r="D105">
            <v>1072.17</v>
          </cell>
          <cell r="E105">
            <v>839.95</v>
          </cell>
          <cell r="F105">
            <v>232.22000000000003</v>
          </cell>
          <cell r="H105">
            <v>1216.5999999999999</v>
          </cell>
        </row>
        <row r="106">
          <cell r="A106">
            <v>383</v>
          </cell>
          <cell r="B106">
            <v>383</v>
          </cell>
          <cell r="C106" t="str">
            <v>Arbon Elementary</v>
          </cell>
          <cell r="D106">
            <v>1748.95</v>
          </cell>
          <cell r="E106">
            <v>1395.1</v>
          </cell>
          <cell r="F106">
            <v>353.85000000000014</v>
          </cell>
          <cell r="H106">
            <v>1748.95</v>
          </cell>
        </row>
        <row r="107">
          <cell r="A107">
            <v>391</v>
          </cell>
          <cell r="B107">
            <v>391</v>
          </cell>
          <cell r="C107" t="str">
            <v>Kellogg Joint</v>
          </cell>
          <cell r="D107">
            <v>1042.1099999999999</v>
          </cell>
          <cell r="E107">
            <v>563.92999999999995</v>
          </cell>
          <cell r="F107">
            <v>478.17999999999995</v>
          </cell>
          <cell r="H107">
            <v>1322.57</v>
          </cell>
        </row>
        <row r="108">
          <cell r="A108">
            <v>392</v>
          </cell>
          <cell r="B108">
            <v>392</v>
          </cell>
          <cell r="C108" t="str">
            <v>Mullan</v>
          </cell>
          <cell r="D108">
            <v>2363.02</v>
          </cell>
          <cell r="E108">
            <v>1513.74</v>
          </cell>
          <cell r="F108">
            <v>849.28</v>
          </cell>
          <cell r="H108">
            <v>2758.7</v>
          </cell>
        </row>
        <row r="109">
          <cell r="A109">
            <v>393</v>
          </cell>
          <cell r="B109">
            <v>393</v>
          </cell>
          <cell r="C109" t="str">
            <v>Wallace</v>
          </cell>
          <cell r="D109">
            <v>1188.07</v>
          </cell>
          <cell r="E109">
            <v>690.83</v>
          </cell>
          <cell r="F109">
            <v>497.2399999999999</v>
          </cell>
          <cell r="H109">
            <v>1378.74</v>
          </cell>
        </row>
        <row r="110">
          <cell r="A110">
            <v>394</v>
          </cell>
          <cell r="B110">
            <v>394</v>
          </cell>
          <cell r="C110" t="str">
            <v>Avery</v>
          </cell>
          <cell r="D110">
            <v>2771.27</v>
          </cell>
          <cell r="E110">
            <v>1126.68</v>
          </cell>
          <cell r="F110">
            <v>1644.59</v>
          </cell>
          <cell r="H110">
            <v>2771.27</v>
          </cell>
        </row>
        <row r="111">
          <cell r="A111">
            <v>401</v>
          </cell>
          <cell r="B111">
            <v>401</v>
          </cell>
          <cell r="C111" t="str">
            <v>Teton County</v>
          </cell>
          <cell r="D111">
            <v>1175.75</v>
          </cell>
          <cell r="E111">
            <v>639.48</v>
          </cell>
          <cell r="F111">
            <v>536.27</v>
          </cell>
          <cell r="H111">
            <v>1158.3499999999999</v>
          </cell>
        </row>
        <row r="112">
          <cell r="A112">
            <v>411</v>
          </cell>
          <cell r="B112">
            <v>411</v>
          </cell>
          <cell r="C112" t="str">
            <v>Twin Falls</v>
          </cell>
          <cell r="D112">
            <v>837.12</v>
          </cell>
          <cell r="E112">
            <v>555.22</v>
          </cell>
          <cell r="F112">
            <v>281.89999999999998</v>
          </cell>
          <cell r="H112">
            <v>973.09</v>
          </cell>
        </row>
        <row r="113">
          <cell r="A113">
            <v>412</v>
          </cell>
          <cell r="B113">
            <v>412</v>
          </cell>
          <cell r="C113" t="str">
            <v>Buhl Joint</v>
          </cell>
          <cell r="D113">
            <v>651.13</v>
          </cell>
          <cell r="E113">
            <v>484.69</v>
          </cell>
          <cell r="F113">
            <v>166.44</v>
          </cell>
          <cell r="H113">
            <v>1052.0999999999999</v>
          </cell>
        </row>
        <row r="114">
          <cell r="A114">
            <v>413</v>
          </cell>
          <cell r="B114">
            <v>413</v>
          </cell>
          <cell r="C114" t="str">
            <v>Filer</v>
          </cell>
          <cell r="D114">
            <v>832.03</v>
          </cell>
          <cell r="E114">
            <v>619.41</v>
          </cell>
          <cell r="F114">
            <v>212.62</v>
          </cell>
          <cell r="H114">
            <v>854.61</v>
          </cell>
        </row>
        <row r="115">
          <cell r="A115">
            <v>414</v>
          </cell>
          <cell r="B115">
            <v>414</v>
          </cell>
          <cell r="C115" t="str">
            <v>Kimberly</v>
          </cell>
          <cell r="D115">
            <v>761.4</v>
          </cell>
          <cell r="E115">
            <v>589.97</v>
          </cell>
          <cell r="F115">
            <v>171.42999999999995</v>
          </cell>
          <cell r="H115">
            <v>852.22</v>
          </cell>
        </row>
        <row r="116">
          <cell r="A116">
            <v>415</v>
          </cell>
          <cell r="B116">
            <v>415</v>
          </cell>
          <cell r="C116" t="str">
            <v>Hansen</v>
          </cell>
          <cell r="D116">
            <v>1060.06</v>
          </cell>
          <cell r="E116">
            <v>784.49</v>
          </cell>
          <cell r="F116">
            <v>275.56999999999994</v>
          </cell>
          <cell r="H116">
            <v>1045.95</v>
          </cell>
        </row>
        <row r="117">
          <cell r="A117">
            <v>416</v>
          </cell>
          <cell r="B117">
            <v>416</v>
          </cell>
          <cell r="C117" t="str">
            <v>Three Creek Joint Elementary</v>
          </cell>
          <cell r="D117">
            <v>7533.18</v>
          </cell>
          <cell r="E117">
            <v>4470.1499999999996</v>
          </cell>
          <cell r="F117">
            <v>3063.0300000000007</v>
          </cell>
          <cell r="H117">
            <v>7533.18</v>
          </cell>
        </row>
        <row r="118">
          <cell r="A118">
            <v>417</v>
          </cell>
          <cell r="B118">
            <v>417</v>
          </cell>
          <cell r="C118" t="str">
            <v>Castleford Joint</v>
          </cell>
          <cell r="D118">
            <v>931.94</v>
          </cell>
          <cell r="E118">
            <v>708.06</v>
          </cell>
          <cell r="F118">
            <v>223.88000000000011</v>
          </cell>
          <cell r="H118">
            <v>1190.07</v>
          </cell>
        </row>
        <row r="119">
          <cell r="A119">
            <v>418</v>
          </cell>
          <cell r="B119">
            <v>418</v>
          </cell>
          <cell r="C119" t="str">
            <v>Murtaugh Joint</v>
          </cell>
          <cell r="D119">
            <v>923.45</v>
          </cell>
          <cell r="E119">
            <v>712.32</v>
          </cell>
          <cell r="F119">
            <v>211.13</v>
          </cell>
          <cell r="H119">
            <v>1129.93</v>
          </cell>
        </row>
        <row r="120">
          <cell r="A120">
            <v>421</v>
          </cell>
          <cell r="B120">
            <v>421</v>
          </cell>
          <cell r="C120" t="str">
            <v>McCall-Donnelly Joint</v>
          </cell>
          <cell r="D120">
            <v>1278.79</v>
          </cell>
          <cell r="E120">
            <v>595.07000000000005</v>
          </cell>
          <cell r="F120">
            <v>683.71999999999991</v>
          </cell>
          <cell r="H120">
            <v>1565.9</v>
          </cell>
        </row>
        <row r="121">
          <cell r="A121">
            <v>422</v>
          </cell>
          <cell r="B121">
            <v>422</v>
          </cell>
          <cell r="C121" t="str">
            <v>Cascade</v>
          </cell>
          <cell r="D121">
            <v>1391.35</v>
          </cell>
          <cell r="E121">
            <v>885.64</v>
          </cell>
          <cell r="F121">
            <v>505.70999999999992</v>
          </cell>
          <cell r="H121">
            <v>1663.45</v>
          </cell>
        </row>
        <row r="122">
          <cell r="A122">
            <v>431</v>
          </cell>
          <cell r="B122">
            <v>431</v>
          </cell>
          <cell r="C122" t="str">
            <v>Weiser</v>
          </cell>
          <cell r="D122">
            <v>626.52</v>
          </cell>
          <cell r="E122">
            <v>544.07000000000005</v>
          </cell>
          <cell r="F122">
            <v>82.449999999999932</v>
          </cell>
          <cell r="H122">
            <v>826.39</v>
          </cell>
        </row>
        <row r="123">
          <cell r="A123">
            <v>432</v>
          </cell>
          <cell r="B123">
            <v>432</v>
          </cell>
          <cell r="C123" t="str">
            <v>Cambridge Joint</v>
          </cell>
          <cell r="D123">
            <v>1070.45</v>
          </cell>
          <cell r="E123">
            <v>943.08</v>
          </cell>
          <cell r="F123">
            <v>127.37</v>
          </cell>
          <cell r="H123">
            <v>1344.27</v>
          </cell>
        </row>
        <row r="124">
          <cell r="A124">
            <v>433</v>
          </cell>
          <cell r="B124">
            <v>433</v>
          </cell>
          <cell r="C124" t="str">
            <v>Midvale</v>
          </cell>
          <cell r="D124">
            <v>1296.75</v>
          </cell>
          <cell r="E124">
            <v>1150.01</v>
          </cell>
          <cell r="F124">
            <v>146.74</v>
          </cell>
          <cell r="H124">
            <v>1806.91</v>
          </cell>
        </row>
        <row r="125">
          <cell r="A125">
            <v>768</v>
          </cell>
          <cell r="B125">
            <v>434</v>
          </cell>
          <cell r="C125" t="str">
            <v>Meridian Technical Charter High School</v>
          </cell>
          <cell r="D125" t="str">
            <v>n/a</v>
          </cell>
          <cell r="E125" t="str">
            <v>n/a</v>
          </cell>
          <cell r="F125" t="str">
            <v>n/a</v>
          </cell>
          <cell r="H125">
            <v>1136.42</v>
          </cell>
        </row>
        <row r="126">
          <cell r="A126">
            <v>785</v>
          </cell>
          <cell r="B126">
            <v>435</v>
          </cell>
          <cell r="C126" t="str">
            <v>Meridian Medical Arts Charter High School</v>
          </cell>
          <cell r="D126" t="str">
            <v>n/a</v>
          </cell>
          <cell r="E126" t="str">
            <v>n/a</v>
          </cell>
          <cell r="F126" t="str">
            <v>n/a</v>
          </cell>
          <cell r="H126">
            <v>1188.8</v>
          </cell>
        </row>
        <row r="127">
          <cell r="B127">
            <v>436</v>
          </cell>
          <cell r="C127" t="str">
            <v>SEI Tec</v>
          </cell>
          <cell r="D127" t="str">
            <v>n/a</v>
          </cell>
          <cell r="E127" t="str">
            <v>n/a</v>
          </cell>
          <cell r="F127" t="str">
            <v>n/a</v>
          </cell>
        </row>
        <row r="128">
          <cell r="A128">
            <v>794</v>
          </cell>
          <cell r="B128">
            <v>437</v>
          </cell>
          <cell r="C128" t="str">
            <v>Payette River Technical Academy</v>
          </cell>
          <cell r="D128" t="str">
            <v>n/a</v>
          </cell>
          <cell r="E128" t="str">
            <v>n/a</v>
          </cell>
          <cell r="F128" t="str">
            <v>n/a</v>
          </cell>
          <cell r="H128">
            <v>1442.44</v>
          </cell>
        </row>
        <row r="129">
          <cell r="A129">
            <v>813</v>
          </cell>
          <cell r="B129">
            <v>438</v>
          </cell>
          <cell r="C129" t="str">
            <v>Moscow Charter School</v>
          </cell>
          <cell r="D129">
            <v>795.44</v>
          </cell>
          <cell r="E129">
            <v>681.52</v>
          </cell>
          <cell r="F129">
            <v>113.92000000000007</v>
          </cell>
          <cell r="H129">
            <v>876.75</v>
          </cell>
        </row>
        <row r="130">
          <cell r="A130">
            <v>451</v>
          </cell>
          <cell r="B130">
            <v>440</v>
          </cell>
          <cell r="C130" t="str">
            <v>Victory Charter School</v>
          </cell>
          <cell r="D130">
            <v>822.71</v>
          </cell>
          <cell r="E130">
            <v>797.44</v>
          </cell>
          <cell r="F130">
            <v>25.269999999999982</v>
          </cell>
          <cell r="H130">
            <v>706.85</v>
          </cell>
        </row>
        <row r="131">
          <cell r="A131">
            <v>452</v>
          </cell>
          <cell r="B131">
            <v>441</v>
          </cell>
          <cell r="C131" t="str">
            <v>Idaho Virtual Academy</v>
          </cell>
          <cell r="D131">
            <v>779.93</v>
          </cell>
          <cell r="E131">
            <v>668.44</v>
          </cell>
          <cell r="F131">
            <v>111.4899999999999</v>
          </cell>
          <cell r="H131">
            <v>533.04</v>
          </cell>
        </row>
        <row r="132">
          <cell r="A132">
            <v>453</v>
          </cell>
          <cell r="B132">
            <v>442</v>
          </cell>
          <cell r="C132" t="str">
            <v>McKenna Charter School</v>
          </cell>
          <cell r="D132">
            <v>893.42</v>
          </cell>
          <cell r="E132">
            <v>1153.71</v>
          </cell>
          <cell r="F132">
            <v>0</v>
          </cell>
          <cell r="H132">
            <v>602.64</v>
          </cell>
        </row>
        <row r="133">
          <cell r="A133">
            <v>454</v>
          </cell>
          <cell r="B133">
            <v>443</v>
          </cell>
          <cell r="C133" t="str">
            <v>Rolling Hills Public Charter School</v>
          </cell>
          <cell r="D133">
            <v>855.05</v>
          </cell>
          <cell r="E133">
            <v>611.13</v>
          </cell>
          <cell r="F133">
            <v>243.91999999999996</v>
          </cell>
          <cell r="H133">
            <v>1202.2</v>
          </cell>
        </row>
        <row r="134">
          <cell r="A134">
            <v>455</v>
          </cell>
          <cell r="B134">
            <v>444</v>
          </cell>
          <cell r="C134" t="str">
            <v>Compass Public Charter School</v>
          </cell>
          <cell r="D134">
            <v>610.78</v>
          </cell>
          <cell r="E134">
            <v>527.19000000000005</v>
          </cell>
          <cell r="F134">
            <v>83.589999999999918</v>
          </cell>
          <cell r="H134">
            <v>841.06</v>
          </cell>
        </row>
        <row r="135">
          <cell r="A135">
            <v>456</v>
          </cell>
          <cell r="B135">
            <v>445</v>
          </cell>
          <cell r="C135" t="str">
            <v>Falcon Ridge Public Charter School</v>
          </cell>
          <cell r="D135">
            <v>751.9</v>
          </cell>
          <cell r="E135">
            <v>632.73</v>
          </cell>
          <cell r="F135">
            <v>119.16999999999996</v>
          </cell>
          <cell r="H135">
            <v>1011.78</v>
          </cell>
        </row>
        <row r="136">
          <cell r="A136">
            <v>457</v>
          </cell>
          <cell r="B136">
            <v>446</v>
          </cell>
          <cell r="C136" t="str">
            <v>INSPIRE Connections Academy</v>
          </cell>
          <cell r="D136">
            <v>617.51</v>
          </cell>
          <cell r="E136">
            <v>536.72</v>
          </cell>
          <cell r="F136">
            <v>80.789999999999964</v>
          </cell>
          <cell r="H136">
            <v>678.3</v>
          </cell>
        </row>
        <row r="137">
          <cell r="A137">
            <v>458</v>
          </cell>
          <cell r="B137">
            <v>447</v>
          </cell>
          <cell r="C137" t="str">
            <v>Liberty Charter School</v>
          </cell>
          <cell r="D137">
            <v>825.79</v>
          </cell>
          <cell r="E137">
            <v>853.54</v>
          </cell>
          <cell r="F137">
            <v>0</v>
          </cell>
          <cell r="H137">
            <v>717.52</v>
          </cell>
        </row>
        <row r="138">
          <cell r="A138">
            <v>460</v>
          </cell>
          <cell r="B138">
            <v>448</v>
          </cell>
          <cell r="C138" t="str">
            <v>Connor Academy</v>
          </cell>
          <cell r="D138">
            <v>623.65</v>
          </cell>
          <cell r="E138">
            <v>542.33000000000004</v>
          </cell>
          <cell r="F138">
            <v>81.319999999999936</v>
          </cell>
          <cell r="H138">
            <v>922.56</v>
          </cell>
        </row>
        <row r="139">
          <cell r="A139">
            <v>461</v>
          </cell>
          <cell r="B139">
            <v>449</v>
          </cell>
          <cell r="C139" t="str">
            <v>Taylor's Crossing Public Charter School</v>
          </cell>
          <cell r="D139">
            <v>707.03</v>
          </cell>
          <cell r="E139">
            <v>625.86</v>
          </cell>
          <cell r="F139">
            <v>81.169999999999959</v>
          </cell>
          <cell r="H139">
            <v>949.37</v>
          </cell>
        </row>
        <row r="140">
          <cell r="A140">
            <v>462</v>
          </cell>
          <cell r="B140">
            <v>450</v>
          </cell>
          <cell r="C140" t="str">
            <v>Xavier Charter School</v>
          </cell>
          <cell r="D140">
            <v>611.62</v>
          </cell>
          <cell r="E140">
            <v>552.33000000000004</v>
          </cell>
          <cell r="F140">
            <v>59.289999999999964</v>
          </cell>
          <cell r="H140">
            <v>855.59</v>
          </cell>
        </row>
        <row r="141">
          <cell r="A141">
            <v>463</v>
          </cell>
          <cell r="B141">
            <v>451</v>
          </cell>
          <cell r="C141" t="str">
            <v>Vision Charter School</v>
          </cell>
          <cell r="D141">
            <v>723.35</v>
          </cell>
          <cell r="E141">
            <v>657.46</v>
          </cell>
          <cell r="F141">
            <v>65.889999999999986</v>
          </cell>
          <cell r="H141">
            <v>793.08</v>
          </cell>
        </row>
        <row r="142">
          <cell r="A142">
            <v>464</v>
          </cell>
          <cell r="B142">
            <v>452</v>
          </cell>
          <cell r="C142" t="str">
            <v>White Pine Charter School</v>
          </cell>
          <cell r="D142">
            <v>650.04</v>
          </cell>
          <cell r="E142">
            <v>598.09</v>
          </cell>
          <cell r="F142">
            <v>51.949999999999932</v>
          </cell>
          <cell r="H142">
            <v>721.83</v>
          </cell>
        </row>
        <row r="143">
          <cell r="A143">
            <v>465</v>
          </cell>
          <cell r="B143">
            <v>453</v>
          </cell>
          <cell r="C143" t="str">
            <v>North Valley Academy</v>
          </cell>
          <cell r="D143">
            <v>754.53</v>
          </cell>
          <cell r="E143">
            <v>713.83</v>
          </cell>
          <cell r="F143">
            <v>40.699999999999932</v>
          </cell>
          <cell r="H143">
            <v>851.11</v>
          </cell>
        </row>
        <row r="144">
          <cell r="A144">
            <v>466</v>
          </cell>
          <cell r="B144">
            <v>454</v>
          </cell>
          <cell r="C144" t="str">
            <v>iSucceed Virtual High School</v>
          </cell>
          <cell r="D144" t="str">
            <v>n/a</v>
          </cell>
          <cell r="E144" t="str">
            <v>n/a</v>
          </cell>
          <cell r="F144" t="str">
            <v>n/a</v>
          </cell>
          <cell r="H144">
            <v>626.13</v>
          </cell>
        </row>
        <row r="145">
          <cell r="A145">
            <v>468</v>
          </cell>
          <cell r="B145">
            <v>455</v>
          </cell>
          <cell r="C145" t="str">
            <v>Idaho Science and Technology Charter School</v>
          </cell>
          <cell r="D145">
            <v>722.84</v>
          </cell>
          <cell r="E145">
            <v>554.91999999999996</v>
          </cell>
          <cell r="F145">
            <v>167.92000000000007</v>
          </cell>
          <cell r="H145">
            <v>1354.52</v>
          </cell>
        </row>
        <row r="146">
          <cell r="A146">
            <v>469</v>
          </cell>
          <cell r="B146">
            <v>456</v>
          </cell>
          <cell r="C146" t="str">
            <v>Idaho Connects Online (ICON)</v>
          </cell>
          <cell r="D146">
            <v>1143.3800000000001</v>
          </cell>
          <cell r="E146">
            <v>1179.57</v>
          </cell>
          <cell r="F146">
            <v>0</v>
          </cell>
          <cell r="H146">
            <v>1128.51</v>
          </cell>
        </row>
        <row r="147">
          <cell r="A147">
            <v>470</v>
          </cell>
          <cell r="B147">
            <v>457</v>
          </cell>
          <cell r="C147" t="str">
            <v>Kootenai Bridge Academy</v>
          </cell>
          <cell r="D147" t="str">
            <v>n/a</v>
          </cell>
          <cell r="E147" t="str">
            <v>n/a</v>
          </cell>
          <cell r="F147" t="str">
            <v>n/a</v>
          </cell>
          <cell r="H147">
            <v>725.57</v>
          </cell>
        </row>
        <row r="148">
          <cell r="A148">
            <v>472</v>
          </cell>
          <cell r="B148">
            <v>458</v>
          </cell>
          <cell r="C148" t="str">
            <v>Palouse Prairie Charter School</v>
          </cell>
          <cell r="D148">
            <v>894.26</v>
          </cell>
          <cell r="E148">
            <v>722.57</v>
          </cell>
          <cell r="F148">
            <v>171.68999999999994</v>
          </cell>
          <cell r="H148">
            <v>361.39</v>
          </cell>
        </row>
        <row r="149">
          <cell r="A149">
            <v>473</v>
          </cell>
          <cell r="B149">
            <v>459</v>
          </cell>
          <cell r="C149" t="str">
            <v>The Village Charter School</v>
          </cell>
          <cell r="D149">
            <v>1075.6199999999999</v>
          </cell>
          <cell r="E149">
            <v>580.45000000000005</v>
          </cell>
          <cell r="F149">
            <v>495.16999999999985</v>
          </cell>
          <cell r="H149">
            <v>1246.7</v>
          </cell>
        </row>
        <row r="150">
          <cell r="A150">
            <v>474</v>
          </cell>
          <cell r="B150">
            <v>460</v>
          </cell>
          <cell r="C150" t="str">
            <v>Monticello Montessori Charter School</v>
          </cell>
          <cell r="D150">
            <v>860.75</v>
          </cell>
          <cell r="E150">
            <v>633.75</v>
          </cell>
          <cell r="F150">
            <v>227</v>
          </cell>
          <cell r="H150">
            <v>404.51</v>
          </cell>
        </row>
        <row r="151">
          <cell r="A151">
            <v>475</v>
          </cell>
          <cell r="B151">
            <v>461</v>
          </cell>
          <cell r="C151" t="str">
            <v>Sage International School of Boise</v>
          </cell>
          <cell r="D151">
            <v>761.57</v>
          </cell>
          <cell r="E151">
            <v>531.28</v>
          </cell>
          <cell r="F151">
            <v>230.29000000000008</v>
          </cell>
          <cell r="H151">
            <v>1087.04</v>
          </cell>
        </row>
        <row r="152">
          <cell r="A152">
            <v>476</v>
          </cell>
          <cell r="B152">
            <v>462</v>
          </cell>
          <cell r="C152" t="str">
            <v>Another Choice Virtual Charter School</v>
          </cell>
          <cell r="E152">
            <v>476.16</v>
          </cell>
          <cell r="F152">
            <v>126.06</v>
          </cell>
        </row>
        <row r="153">
          <cell r="A153">
            <v>477</v>
          </cell>
          <cell r="B153">
            <v>463</v>
          </cell>
          <cell r="C153" t="str">
            <v>Blackfoot Charter Community Learning Center</v>
          </cell>
          <cell r="D153">
            <v>720.36</v>
          </cell>
          <cell r="E153">
            <v>628.52</v>
          </cell>
          <cell r="F153">
            <v>91.840000000000032</v>
          </cell>
          <cell r="H153">
            <v>266.79000000000002</v>
          </cell>
        </row>
        <row r="154">
          <cell r="A154">
            <v>478</v>
          </cell>
          <cell r="B154">
            <v>464</v>
          </cell>
          <cell r="C154" t="str">
            <v>Legacy Charter School</v>
          </cell>
          <cell r="D154">
            <v>840.3</v>
          </cell>
          <cell r="E154">
            <v>720.01</v>
          </cell>
          <cell r="F154">
            <v>120.28999999999996</v>
          </cell>
          <cell r="H154">
            <v>602.34</v>
          </cell>
        </row>
        <row r="155">
          <cell r="A155">
            <v>479</v>
          </cell>
          <cell r="B155">
            <v>465</v>
          </cell>
          <cell r="C155" t="str">
            <v>Heritage Academy</v>
          </cell>
          <cell r="D155">
            <v>933.58</v>
          </cell>
          <cell r="E155">
            <v>862.05</v>
          </cell>
          <cell r="F155">
            <v>71.530000000000086</v>
          </cell>
          <cell r="H155">
            <v>316.99</v>
          </cell>
        </row>
        <row r="156">
          <cell r="A156">
            <v>480</v>
          </cell>
          <cell r="B156">
            <v>466</v>
          </cell>
          <cell r="C156" t="str">
            <v>STEM Charter Academy</v>
          </cell>
          <cell r="D156">
            <v>555.41</v>
          </cell>
          <cell r="E156">
            <v>634.69000000000005</v>
          </cell>
          <cell r="F156">
            <v>0</v>
          </cell>
          <cell r="H156">
            <v>758.34</v>
          </cell>
        </row>
        <row r="157">
          <cell r="A157">
            <v>481</v>
          </cell>
          <cell r="B157">
            <v>467</v>
          </cell>
          <cell r="C157" t="str">
            <v>Heritage Community Charter School</v>
          </cell>
          <cell r="D157">
            <v>603.67999999999995</v>
          </cell>
          <cell r="E157">
            <v>515.15</v>
          </cell>
          <cell r="F157">
            <v>88.529999999999973</v>
          </cell>
          <cell r="H157">
            <v>996.29</v>
          </cell>
        </row>
        <row r="158">
          <cell r="A158">
            <v>482</v>
          </cell>
          <cell r="B158">
            <v>468</v>
          </cell>
          <cell r="C158" t="str">
            <v>American Heritage Charter School</v>
          </cell>
          <cell r="D158">
            <v>663.74</v>
          </cell>
          <cell r="E158">
            <v>605.29999999999995</v>
          </cell>
          <cell r="F158">
            <v>58.440000000000055</v>
          </cell>
          <cell r="H158">
            <v>931.4</v>
          </cell>
        </row>
        <row r="159">
          <cell r="A159">
            <v>483</v>
          </cell>
          <cell r="B159">
            <v>469</v>
          </cell>
          <cell r="C159" t="str">
            <v>Chief Tahgee Elementary Academy</v>
          </cell>
          <cell r="D159">
            <v>1149</v>
          </cell>
          <cell r="E159">
            <v>699.15</v>
          </cell>
          <cell r="F159">
            <v>449.85</v>
          </cell>
          <cell r="H159">
            <v>483.45</v>
          </cell>
        </row>
        <row r="160">
          <cell r="A160">
            <v>485</v>
          </cell>
          <cell r="B160">
            <v>470</v>
          </cell>
          <cell r="C160" t="str">
            <v>Bingham Academy</v>
          </cell>
          <cell r="D160" t="str">
            <v>n/a</v>
          </cell>
          <cell r="E160" t="str">
            <v>n/a</v>
          </cell>
          <cell r="F160" t="str">
            <v>n/a</v>
          </cell>
          <cell r="H160">
            <v>1053.54</v>
          </cell>
        </row>
        <row r="161">
          <cell r="A161">
            <v>486</v>
          </cell>
          <cell r="B161">
            <v>471</v>
          </cell>
          <cell r="C161" t="str">
            <v>Upper Carmen Charter School</v>
          </cell>
          <cell r="D161">
            <v>958.59</v>
          </cell>
          <cell r="E161">
            <v>786.2</v>
          </cell>
          <cell r="F161">
            <v>172.39</v>
          </cell>
          <cell r="H161" t="str">
            <v>n/a</v>
          </cell>
        </row>
        <row r="162">
          <cell r="A162">
            <v>487</v>
          </cell>
          <cell r="B162">
            <v>472</v>
          </cell>
          <cell r="C162" t="str">
            <v>Forrest M. Bird Charter School</v>
          </cell>
          <cell r="D162">
            <v>415.14</v>
          </cell>
          <cell r="E162">
            <v>386.08</v>
          </cell>
          <cell r="F162">
            <v>29.060000000000002</v>
          </cell>
          <cell r="H162">
            <v>1009.22</v>
          </cell>
        </row>
        <row r="163">
          <cell r="A163">
            <v>488</v>
          </cell>
          <cell r="B163">
            <v>473</v>
          </cell>
          <cell r="C163" t="str">
            <v>Syringa Mountain School</v>
          </cell>
          <cell r="D163">
            <v>825.37</v>
          </cell>
          <cell r="E163">
            <v>652.85</v>
          </cell>
          <cell r="F163">
            <v>172.51999999999998</v>
          </cell>
          <cell r="H163">
            <v>902.63</v>
          </cell>
        </row>
        <row r="164">
          <cell r="A164">
            <v>489</v>
          </cell>
          <cell r="B164">
            <v>474</v>
          </cell>
          <cell r="C164" t="str">
            <v>Idaho Technical Career Academy</v>
          </cell>
          <cell r="D164" t="str">
            <v>n/a</v>
          </cell>
          <cell r="E164" t="str">
            <v>n/a</v>
          </cell>
          <cell r="F164" t="str">
            <v>n/a</v>
          </cell>
          <cell r="H164">
            <v>822.75</v>
          </cell>
        </row>
        <row r="165">
          <cell r="A165">
            <v>491</v>
          </cell>
          <cell r="B165">
            <v>475</v>
          </cell>
          <cell r="C165" t="str">
            <v>Coeur d'Alene Charter Academy</v>
          </cell>
          <cell r="D165">
            <v>325.85000000000002</v>
          </cell>
          <cell r="E165">
            <v>274.10000000000002</v>
          </cell>
          <cell r="F165">
            <v>51.75</v>
          </cell>
          <cell r="H165">
            <v>1034.07</v>
          </cell>
        </row>
        <row r="166">
          <cell r="A166">
            <v>492</v>
          </cell>
          <cell r="B166">
            <v>476</v>
          </cell>
          <cell r="C166" t="str">
            <v>ANSER Charter School</v>
          </cell>
          <cell r="D166">
            <v>862.76</v>
          </cell>
          <cell r="E166">
            <v>659.66</v>
          </cell>
          <cell r="F166">
            <v>203.10000000000002</v>
          </cell>
          <cell r="H166">
            <v>919.07</v>
          </cell>
        </row>
        <row r="167">
          <cell r="A167">
            <v>493</v>
          </cell>
          <cell r="B167">
            <v>477</v>
          </cell>
          <cell r="C167" t="str">
            <v>North Star Charter School</v>
          </cell>
          <cell r="D167">
            <v>716.77</v>
          </cell>
          <cell r="E167">
            <v>556.85</v>
          </cell>
          <cell r="F167">
            <v>159.91999999999996</v>
          </cell>
          <cell r="H167">
            <v>987.79</v>
          </cell>
        </row>
        <row r="168">
          <cell r="A168">
            <v>494</v>
          </cell>
          <cell r="B168">
            <v>478</v>
          </cell>
          <cell r="C168" t="str">
            <v>Pocatello Community Charter School</v>
          </cell>
          <cell r="D168">
            <v>735.31</v>
          </cell>
          <cell r="E168">
            <v>638.66999999999996</v>
          </cell>
          <cell r="F168">
            <v>96.639999999999986</v>
          </cell>
          <cell r="H168">
            <v>766.58</v>
          </cell>
        </row>
        <row r="169">
          <cell r="A169">
            <v>495</v>
          </cell>
          <cell r="B169">
            <v>479</v>
          </cell>
          <cell r="C169" t="str">
            <v>Alturas International Academy</v>
          </cell>
          <cell r="D169">
            <v>723.87</v>
          </cell>
          <cell r="E169">
            <v>674.02</v>
          </cell>
          <cell r="F169">
            <v>49.850000000000023</v>
          </cell>
          <cell r="H169">
            <v>244.35</v>
          </cell>
        </row>
        <row r="170">
          <cell r="A170">
            <v>496</v>
          </cell>
          <cell r="B170">
            <v>480</v>
          </cell>
          <cell r="C170" t="str">
            <v>Gem Prep: Pocatello</v>
          </cell>
          <cell r="D170">
            <v>601.88</v>
          </cell>
          <cell r="E170">
            <v>547.61</v>
          </cell>
          <cell r="F170">
            <v>54.269999999999982</v>
          </cell>
          <cell r="H170">
            <v>685.57</v>
          </cell>
        </row>
        <row r="171">
          <cell r="A171">
            <v>497</v>
          </cell>
          <cell r="B171">
            <v>481</v>
          </cell>
          <cell r="C171" t="str">
            <v>Pathways in Education - Nampa</v>
          </cell>
          <cell r="D171" t="str">
            <v>n/a</v>
          </cell>
          <cell r="E171" t="str">
            <v>n/a</v>
          </cell>
          <cell r="F171" t="str">
            <v>n/a</v>
          </cell>
          <cell r="H171">
            <v>802.35</v>
          </cell>
        </row>
        <row r="172">
          <cell r="A172">
            <v>498</v>
          </cell>
          <cell r="B172">
            <v>482</v>
          </cell>
          <cell r="C172" t="str">
            <v>Gem Prep: Meridian</v>
          </cell>
          <cell r="D172">
            <v>521.62</v>
          </cell>
          <cell r="E172">
            <v>634.63</v>
          </cell>
          <cell r="F172">
            <v>0</v>
          </cell>
          <cell r="H172">
            <v>426.05</v>
          </cell>
        </row>
        <row r="173">
          <cell r="A173">
            <v>499</v>
          </cell>
          <cell r="B173">
            <v>483</v>
          </cell>
          <cell r="C173" t="str">
            <v>Future Public School</v>
          </cell>
          <cell r="D173">
            <v>643.86</v>
          </cell>
          <cell r="E173">
            <v>500.41</v>
          </cell>
          <cell r="F173">
            <v>143.44999999999999</v>
          </cell>
          <cell r="H173" t="str">
            <v>n/a</v>
          </cell>
        </row>
        <row r="174">
          <cell r="A174">
            <v>508</v>
          </cell>
          <cell r="B174">
            <v>484</v>
          </cell>
          <cell r="C174" t="str">
            <v>Hayden Canyon Charter School</v>
          </cell>
          <cell r="D174">
            <v>803.09</v>
          </cell>
          <cell r="E174">
            <v>521.01</v>
          </cell>
          <cell r="F174">
            <v>282.08000000000004</v>
          </cell>
          <cell r="H174">
            <v>662.41</v>
          </cell>
        </row>
        <row r="175">
          <cell r="A175">
            <v>511</v>
          </cell>
          <cell r="B175">
            <v>485</v>
          </cell>
          <cell r="C175" t="str">
            <v>Peace Valley Charter School</v>
          </cell>
          <cell r="D175">
            <v>655.14</v>
          </cell>
          <cell r="E175">
            <v>548.97</v>
          </cell>
          <cell r="F175">
            <v>106.16999999999996</v>
          </cell>
          <cell r="H175">
            <v>603.02</v>
          </cell>
        </row>
        <row r="176">
          <cell r="A176">
            <v>513</v>
          </cell>
          <cell r="B176">
            <v>486</v>
          </cell>
          <cell r="C176" t="str">
            <v>Project Impact STEM Academy</v>
          </cell>
          <cell r="D176">
            <v>852.49</v>
          </cell>
          <cell r="E176">
            <v>669.76</v>
          </cell>
          <cell r="F176">
            <v>182.73000000000002</v>
          </cell>
          <cell r="H176">
            <v>953.42</v>
          </cell>
        </row>
        <row r="177">
          <cell r="A177">
            <v>523</v>
          </cell>
          <cell r="B177">
            <v>488</v>
          </cell>
          <cell r="C177" t="str">
            <v>Elevate Academy</v>
          </cell>
          <cell r="D177" t="str">
            <v>n/a</v>
          </cell>
          <cell r="E177" t="str">
            <v>n/a</v>
          </cell>
          <cell r="F177" t="str">
            <v>n/a</v>
          </cell>
          <cell r="H177">
            <v>1035.57</v>
          </cell>
        </row>
        <row r="178">
          <cell r="A178">
            <v>528</v>
          </cell>
          <cell r="B178">
            <v>489</v>
          </cell>
          <cell r="C178" t="str">
            <v>Forge International School</v>
          </cell>
          <cell r="D178">
            <v>703.05</v>
          </cell>
          <cell r="E178">
            <v>572.65</v>
          </cell>
          <cell r="F178">
            <v>130.39999999999998</v>
          </cell>
          <cell r="H178">
            <v>848.44</v>
          </cell>
        </row>
        <row r="179">
          <cell r="A179">
            <v>531</v>
          </cell>
          <cell r="B179">
            <v>490</v>
          </cell>
          <cell r="C179" t="str">
            <v>FernWaters Public Charter School</v>
          </cell>
          <cell r="D179">
            <v>1142.8800000000001</v>
          </cell>
          <cell r="E179">
            <v>1305.17</v>
          </cell>
          <cell r="F179">
            <v>0</v>
          </cell>
          <cell r="H179">
            <v>212.06</v>
          </cell>
        </row>
        <row r="180">
          <cell r="A180">
            <v>532</v>
          </cell>
          <cell r="B180">
            <v>491</v>
          </cell>
          <cell r="C180" t="str">
            <v>Treasure Valley Classical Academy</v>
          </cell>
          <cell r="D180">
            <v>812.53</v>
          </cell>
          <cell r="E180">
            <v>574.1</v>
          </cell>
          <cell r="F180">
            <v>238.42999999999995</v>
          </cell>
          <cell r="H180">
            <v>463.39</v>
          </cell>
        </row>
        <row r="181">
          <cell r="A181">
            <v>534</v>
          </cell>
          <cell r="B181">
            <v>492</v>
          </cell>
          <cell r="C181" t="str">
            <v>Gem Prep: Online</v>
          </cell>
          <cell r="D181">
            <v>725.05</v>
          </cell>
          <cell r="E181">
            <v>811.12</v>
          </cell>
          <cell r="F181">
            <v>0</v>
          </cell>
          <cell r="H181">
            <v>660.12</v>
          </cell>
        </row>
        <row r="182">
          <cell r="A182">
            <v>536</v>
          </cell>
          <cell r="C182" t="str">
            <v>Mountain Community School</v>
          </cell>
          <cell r="D182">
            <v>768.69</v>
          </cell>
          <cell r="E182">
            <v>649.49</v>
          </cell>
          <cell r="F182">
            <v>119.20000000000005</v>
          </cell>
          <cell r="H182">
            <v>827.27</v>
          </cell>
        </row>
        <row r="183">
          <cell r="A183">
            <v>540</v>
          </cell>
          <cell r="B183">
            <v>493</v>
          </cell>
          <cell r="C183" t="str">
            <v>Island Park Charter School</v>
          </cell>
          <cell r="D183">
            <v>1679.35</v>
          </cell>
          <cell r="E183">
            <v>744.93</v>
          </cell>
          <cell r="F183">
            <v>934.42</v>
          </cell>
          <cell r="H183" t="str">
            <v>n/a</v>
          </cell>
        </row>
        <row r="184">
          <cell r="A184">
            <v>544</v>
          </cell>
          <cell r="B184">
            <v>494</v>
          </cell>
          <cell r="C184" t="str">
            <v>MOSAIC</v>
          </cell>
          <cell r="D184">
            <v>730.74</v>
          </cell>
          <cell r="E184">
            <v>500.7</v>
          </cell>
          <cell r="F184">
            <v>230.04000000000002</v>
          </cell>
          <cell r="H184" t="str">
            <v>n/a</v>
          </cell>
        </row>
        <row r="185">
          <cell r="A185">
            <v>549</v>
          </cell>
          <cell r="C185" t="str">
            <v>Gem Prep: Meridian North</v>
          </cell>
          <cell r="D185">
            <v>768.69</v>
          </cell>
          <cell r="E185">
            <v>649.49</v>
          </cell>
          <cell r="F185">
            <v>119.20000000000005</v>
          </cell>
          <cell r="H185">
            <v>827.27</v>
          </cell>
        </row>
        <row r="186">
          <cell r="A186">
            <v>550</v>
          </cell>
          <cell r="B186">
            <v>496</v>
          </cell>
          <cell r="C186" t="str">
            <v>Doral Academy of Idaho</v>
          </cell>
          <cell r="D186">
            <v>836.67</v>
          </cell>
          <cell r="E186">
            <v>594.33000000000004</v>
          </cell>
          <cell r="F186">
            <v>242.33999999999992</v>
          </cell>
          <cell r="H186" t="str">
            <v>n/a</v>
          </cell>
        </row>
        <row r="187">
          <cell r="A187">
            <v>553</v>
          </cell>
          <cell r="B187">
            <v>497</v>
          </cell>
          <cell r="C187" t="str">
            <v>Pinecrest Academy of Idaho</v>
          </cell>
          <cell r="D187">
            <v>795.93</v>
          </cell>
          <cell r="E187">
            <v>555.63</v>
          </cell>
          <cell r="F187">
            <v>240.29999999999995</v>
          </cell>
          <cell r="H187" t="str">
            <v>n/a</v>
          </cell>
        </row>
        <row r="188">
          <cell r="A188">
            <v>555</v>
          </cell>
          <cell r="B188">
            <v>498</v>
          </cell>
          <cell r="C188" t="str">
            <v>COSSA Academy</v>
          </cell>
          <cell r="D188" t="str">
            <v>n/a</v>
          </cell>
          <cell r="E188" t="str">
            <v>n/a</v>
          </cell>
          <cell r="F188" t="str">
            <v>n/a</v>
          </cell>
          <cell r="H188">
            <v>1446.84</v>
          </cell>
        </row>
        <row r="189">
          <cell r="A189">
            <v>559</v>
          </cell>
          <cell r="B189">
            <v>499</v>
          </cell>
          <cell r="C189" t="str">
            <v>Thomas Jefferson Charter School</v>
          </cell>
          <cell r="D189">
            <v>669.23</v>
          </cell>
          <cell r="E189">
            <v>651.87</v>
          </cell>
          <cell r="F189">
            <v>17.360000000000014</v>
          </cell>
          <cell r="H189">
            <v>919.54</v>
          </cell>
        </row>
        <row r="190">
          <cell r="A190">
            <v>560</v>
          </cell>
          <cell r="C190" t="str">
            <v>Alturas Preparatory Academy</v>
          </cell>
          <cell r="D190">
            <v>768.69</v>
          </cell>
          <cell r="E190">
            <v>649.49</v>
          </cell>
          <cell r="F190">
            <v>119.20000000000005</v>
          </cell>
          <cell r="H190">
            <v>827.27</v>
          </cell>
        </row>
        <row r="191">
          <cell r="A191">
            <v>562</v>
          </cell>
          <cell r="C191" t="str">
            <v>RISE Charter School</v>
          </cell>
          <cell r="D191">
            <v>768.69</v>
          </cell>
          <cell r="E191">
            <v>649.49</v>
          </cell>
          <cell r="F191">
            <v>119.20000000000005</v>
          </cell>
          <cell r="H191">
            <v>827.27</v>
          </cell>
        </row>
        <row r="192">
          <cell r="A192">
            <v>566</v>
          </cell>
          <cell r="C192" t="str">
            <v>Cardinal Academy</v>
          </cell>
          <cell r="D192">
            <v>768.69</v>
          </cell>
          <cell r="E192">
            <v>649.49</v>
          </cell>
          <cell r="F192">
            <v>119.20000000000005</v>
          </cell>
          <cell r="H192">
            <v>827.27</v>
          </cell>
        </row>
        <row r="193">
          <cell r="A193">
            <v>571</v>
          </cell>
          <cell r="C193" t="str">
            <v>Gem Prep: Meridian South</v>
          </cell>
          <cell r="D193">
            <v>768.69</v>
          </cell>
          <cell r="E193">
            <v>649.49</v>
          </cell>
          <cell r="F193">
            <v>119.20000000000005</v>
          </cell>
          <cell r="H193">
            <v>827.27</v>
          </cell>
        </row>
        <row r="194">
          <cell r="A194">
            <v>574</v>
          </cell>
          <cell r="C194" t="str">
            <v>Elevate Academy North</v>
          </cell>
          <cell r="D194">
            <v>768.69</v>
          </cell>
          <cell r="E194">
            <v>649.49</v>
          </cell>
          <cell r="F194">
            <v>119.20000000000005</v>
          </cell>
          <cell r="H194">
            <v>827.27</v>
          </cell>
        </row>
        <row r="195">
          <cell r="A195">
            <v>575</v>
          </cell>
          <cell r="C195" t="str">
            <v>Elevate Academy Nampa</v>
          </cell>
          <cell r="D195">
            <v>768.69</v>
          </cell>
          <cell r="E195">
            <v>649.49</v>
          </cell>
          <cell r="F195">
            <v>119.20000000000005</v>
          </cell>
          <cell r="H195">
            <v>827.27</v>
          </cell>
        </row>
        <row r="196">
          <cell r="A196">
            <v>795</v>
          </cell>
          <cell r="B196">
            <v>503</v>
          </cell>
          <cell r="C196" t="str">
            <v>Idaho Arts Charter School</v>
          </cell>
          <cell r="D196">
            <v>623.58000000000004</v>
          </cell>
          <cell r="E196">
            <v>585.25</v>
          </cell>
          <cell r="F196">
            <v>38.330000000000041</v>
          </cell>
          <cell r="H196">
            <v>671.51</v>
          </cell>
        </row>
        <row r="197">
          <cell r="A197">
            <v>796</v>
          </cell>
          <cell r="B197">
            <v>504</v>
          </cell>
          <cell r="C197" t="str">
            <v>Gem Prep: Nampa</v>
          </cell>
          <cell r="D197">
            <v>599.24</v>
          </cell>
          <cell r="E197">
            <v>629.79</v>
          </cell>
          <cell r="F197">
            <v>0</v>
          </cell>
          <cell r="H197">
            <v>553.45000000000005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Q47"/>
  <sheetViews>
    <sheetView showGridLines="0" tabSelected="1" workbookViewId="0">
      <selection activeCell="D4" sqref="D4"/>
    </sheetView>
  </sheetViews>
  <sheetFormatPr defaultColWidth="0" defaultRowHeight="9.9499999999999993" customHeight="1" zeroHeight="1" x14ac:dyDescent="0.2"/>
  <cols>
    <col min="1" max="1" width="2.7109375" style="3" customWidth="1"/>
    <col min="2" max="2" width="17.42578125" style="3" customWidth="1"/>
    <col min="3" max="3" width="2.5703125" style="3" customWidth="1"/>
    <col min="4" max="4" width="15.85546875" style="3" customWidth="1"/>
    <col min="5" max="5" width="2.42578125" style="3" customWidth="1"/>
    <col min="6" max="6" width="1.28515625" style="3" customWidth="1"/>
    <col min="7" max="7" width="18" style="3" customWidth="1"/>
    <col min="8" max="8" width="2.140625" style="3" customWidth="1"/>
    <col min="9" max="9" width="18" style="3" customWidth="1"/>
    <col min="10" max="10" width="1.42578125" style="3" customWidth="1"/>
    <col min="11" max="11" width="1.85546875" style="3" customWidth="1"/>
    <col min="12" max="12" width="13.5703125" style="3" customWidth="1"/>
    <col min="13" max="13" width="0.85546875" style="3" customWidth="1"/>
    <col min="14" max="14" width="14" style="3" customWidth="1"/>
    <col min="15" max="15" width="2" style="3" customWidth="1"/>
    <col min="16" max="16" width="11.7109375" style="3" customWidth="1"/>
    <col min="17" max="17" width="0.85546875" style="3" customWidth="1"/>
    <col min="18" max="16384" width="9.140625" style="3" hidden="1"/>
  </cols>
  <sheetData>
    <row r="1" spans="1:16" ht="17.25" x14ac:dyDescent="0.3">
      <c r="A1" s="31" t="s">
        <v>240</v>
      </c>
    </row>
    <row r="2" spans="1:16" s="32" customFormat="1" ht="17.25" x14ac:dyDescent="0.3">
      <c r="A2" s="31" t="s">
        <v>180</v>
      </c>
      <c r="B2" s="31"/>
      <c r="C2" s="31"/>
      <c r="D2" s="31"/>
      <c r="E2" s="31"/>
      <c r="F2" s="31"/>
      <c r="G2" s="1"/>
      <c r="H2" s="2"/>
      <c r="I2" s="2"/>
      <c r="J2" s="2"/>
      <c r="K2" s="2"/>
      <c r="L2" s="2"/>
    </row>
    <row r="3" spans="1:16" ht="19.5" x14ac:dyDescent="0.3">
      <c r="A3" s="46"/>
      <c r="B3" s="43"/>
      <c r="C3" s="43"/>
      <c r="D3" s="43"/>
      <c r="E3" s="43"/>
      <c r="F3" s="43"/>
      <c r="G3" s="43"/>
      <c r="H3" s="44"/>
      <c r="I3" s="44"/>
      <c r="J3" s="44"/>
      <c r="K3" s="44"/>
      <c r="L3" s="44"/>
      <c r="M3" s="45"/>
      <c r="N3" s="45"/>
      <c r="O3" s="45"/>
      <c r="P3" s="45"/>
    </row>
    <row r="4" spans="1:16" s="35" customFormat="1" ht="15.75" x14ac:dyDescent="0.25">
      <c r="A4" s="30" t="s">
        <v>176</v>
      </c>
      <c r="B4" s="30"/>
      <c r="C4" s="30"/>
      <c r="D4" s="63">
        <v>0</v>
      </c>
      <c r="E4" s="30"/>
      <c r="F4" s="30"/>
      <c r="G4" s="33" t="str">
        <f>VLOOKUP(D4,'School Numbers'!$C$8:$L$197,2,FALSE)</f>
        <v xml:space="preserve"> </v>
      </c>
      <c r="H4" s="34"/>
      <c r="I4" s="34"/>
      <c r="J4" s="34"/>
      <c r="K4" s="34"/>
      <c r="L4" s="34"/>
      <c r="M4" s="34"/>
    </row>
    <row r="5" spans="1:16" ht="19.5" x14ac:dyDescent="0.3">
      <c r="A5" s="46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  <c r="M5" s="45"/>
      <c r="N5" s="45"/>
      <c r="O5" s="45"/>
      <c r="P5" s="45"/>
    </row>
    <row r="6" spans="1:16" ht="17.25" x14ac:dyDescent="0.3">
      <c r="A6" s="4" t="s">
        <v>17</v>
      </c>
      <c r="J6" s="5"/>
      <c r="K6" s="5"/>
      <c r="L6" s="5"/>
    </row>
    <row r="7" spans="1:16" s="6" customFormat="1" ht="48" x14ac:dyDescent="0.2">
      <c r="B7" s="7" t="s">
        <v>241</v>
      </c>
      <c r="C7" s="8"/>
      <c r="D7" s="7" t="s">
        <v>242</v>
      </c>
      <c r="E7" s="7"/>
      <c r="F7" s="7"/>
      <c r="G7" s="7" t="s">
        <v>16</v>
      </c>
      <c r="H7" s="8"/>
      <c r="I7" s="36" t="s">
        <v>243</v>
      </c>
      <c r="J7" s="8"/>
      <c r="K7" s="8"/>
      <c r="L7" s="37" t="s">
        <v>244</v>
      </c>
    </row>
    <row r="8" spans="1:16" ht="12.75" x14ac:dyDescent="0.2">
      <c r="B8" s="112">
        <v>0</v>
      </c>
      <c r="C8" s="9" t="s">
        <v>1</v>
      </c>
      <c r="D8" s="113">
        <f>VLOOKUP($D$4,'School Numbers'!$C$8:$L$197,3,FALSE)</f>
        <v>0</v>
      </c>
      <c r="E8" s="9" t="s">
        <v>0</v>
      </c>
      <c r="F8" s="9"/>
      <c r="G8" s="114">
        <f>IFERROR(+B8*D8,"N/A")</f>
        <v>0</v>
      </c>
      <c r="H8" s="8"/>
      <c r="I8" s="112">
        <v>0</v>
      </c>
      <c r="J8" s="6"/>
      <c r="K8" s="6"/>
      <c r="L8" s="39" t="s">
        <v>245</v>
      </c>
    </row>
    <row r="9" spans="1:16" s="83" customFormat="1" ht="12.75" x14ac:dyDescent="0.2">
      <c r="B9" s="84" t="s">
        <v>251</v>
      </c>
      <c r="D9" s="85"/>
      <c r="E9" s="85"/>
      <c r="F9" s="85"/>
      <c r="G9" s="86"/>
      <c r="H9" s="87"/>
      <c r="I9" s="86"/>
      <c r="K9" s="87"/>
      <c r="L9" s="86"/>
      <c r="N9" s="88"/>
      <c r="P9" s="74"/>
    </row>
    <row r="10" spans="1:16" s="83" customFormat="1" ht="12.75" x14ac:dyDescent="0.2">
      <c r="B10" s="84" t="s">
        <v>246</v>
      </c>
      <c r="D10" s="85"/>
      <c r="E10" s="85"/>
      <c r="F10" s="85"/>
      <c r="G10" s="86"/>
      <c r="H10" s="87"/>
      <c r="I10" s="86"/>
      <c r="K10" s="87"/>
      <c r="L10" s="86"/>
      <c r="N10" s="88"/>
      <c r="P10" s="74"/>
    </row>
    <row r="11" spans="1:16" s="83" customFormat="1" ht="12.75" x14ac:dyDescent="0.2">
      <c r="B11" s="84" t="s">
        <v>247</v>
      </c>
      <c r="D11" s="85"/>
      <c r="E11" s="85"/>
      <c r="F11" s="85"/>
      <c r="G11" s="86"/>
      <c r="H11" s="87"/>
      <c r="I11" s="86"/>
      <c r="K11" s="87"/>
      <c r="L11" s="86"/>
      <c r="N11" s="88"/>
      <c r="P11" s="74"/>
    </row>
    <row r="12" spans="1:16" ht="19.5" x14ac:dyDescent="0.3">
      <c r="A12" s="46"/>
      <c r="B12" s="43"/>
      <c r="C12" s="43"/>
      <c r="D12" s="43"/>
      <c r="E12" s="43"/>
      <c r="F12" s="43"/>
      <c r="G12" s="43"/>
      <c r="H12" s="44"/>
      <c r="I12" s="44"/>
      <c r="J12" s="44"/>
      <c r="K12" s="44"/>
      <c r="L12" s="44"/>
      <c r="M12" s="45"/>
      <c r="N12" s="45"/>
      <c r="O12" s="45"/>
      <c r="P12" s="45"/>
    </row>
    <row r="13" spans="1:16" ht="17.25" x14ac:dyDescent="0.3">
      <c r="A13" s="4" t="s">
        <v>15</v>
      </c>
    </row>
    <row r="14" spans="1:16" ht="15" x14ac:dyDescent="0.25">
      <c r="A14" s="10"/>
      <c r="B14" s="11" t="s">
        <v>14</v>
      </c>
      <c r="H14" s="5"/>
      <c r="I14" s="5"/>
      <c r="J14" s="5"/>
      <c r="K14" s="5"/>
      <c r="L14" s="5"/>
    </row>
    <row r="15" spans="1:16" s="6" customFormat="1" ht="51" x14ac:dyDescent="0.2">
      <c r="D15" s="7" t="s">
        <v>248</v>
      </c>
      <c r="E15" s="12"/>
      <c r="F15" s="12"/>
      <c r="G15" s="7" t="s">
        <v>249</v>
      </c>
      <c r="I15" s="42" t="s">
        <v>276</v>
      </c>
      <c r="J15" s="12"/>
      <c r="L15" s="7" t="s">
        <v>13</v>
      </c>
      <c r="N15" s="36" t="s">
        <v>250</v>
      </c>
      <c r="P15" s="37" t="s">
        <v>290</v>
      </c>
    </row>
    <row r="16" spans="1:16" ht="12.75" x14ac:dyDescent="0.2">
      <c r="B16" s="3" t="s">
        <v>5</v>
      </c>
      <c r="D16" s="115">
        <v>0</v>
      </c>
      <c r="E16" s="9" t="s">
        <v>1</v>
      </c>
      <c r="F16" s="9" t="s">
        <v>12</v>
      </c>
      <c r="G16" s="113">
        <f>VLOOKUP($D$4,'School Numbers'!$C$8:$L$197,6,FALSE)</f>
        <v>0</v>
      </c>
      <c r="H16" s="13" t="s">
        <v>11</v>
      </c>
      <c r="I16" s="113">
        <f>'School Numbers'!L8</f>
        <v>8800</v>
      </c>
      <c r="J16" s="9" t="s">
        <v>10</v>
      </c>
      <c r="K16" s="13" t="s">
        <v>0</v>
      </c>
      <c r="L16" s="113">
        <f>IFERROR(+D16*(G16+I16),"N/A")</f>
        <v>0</v>
      </c>
      <c r="M16" s="9"/>
      <c r="N16" s="115">
        <v>0</v>
      </c>
      <c r="P16" s="49" t="s">
        <v>177</v>
      </c>
    </row>
    <row r="17" spans="1:16" ht="12.75" x14ac:dyDescent="0.2">
      <c r="B17" s="3" t="s">
        <v>4</v>
      </c>
      <c r="D17" s="115">
        <v>0</v>
      </c>
      <c r="E17" s="9" t="s">
        <v>1</v>
      </c>
      <c r="F17" s="9" t="s">
        <v>12</v>
      </c>
      <c r="G17" s="113">
        <f>VLOOKUP($D$4,'School Numbers'!$C$8:$L$197,7,FALSE)</f>
        <v>0</v>
      </c>
      <c r="H17" s="13" t="s">
        <v>11</v>
      </c>
      <c r="I17" s="113">
        <f>'School Numbers'!L8</f>
        <v>8800</v>
      </c>
      <c r="J17" s="9" t="s">
        <v>10</v>
      </c>
      <c r="K17" s="13" t="s">
        <v>0</v>
      </c>
      <c r="L17" s="113">
        <f>IFERROR(+D17*(G17+I17),"N/A")</f>
        <v>0</v>
      </c>
      <c r="M17" s="9"/>
      <c r="N17" s="115">
        <v>0</v>
      </c>
      <c r="P17" s="39" t="s">
        <v>291</v>
      </c>
    </row>
    <row r="18" spans="1:16" ht="12.75" x14ac:dyDescent="0.2"/>
    <row r="19" spans="1:16" s="83" customFormat="1" ht="12.75" x14ac:dyDescent="0.2">
      <c r="B19" s="84" t="str">
        <f>B9</f>
        <v>*  Prior year information cannot be shown due to rules governing personally identifiable information.  Please review the FY 2023 Other State Funding</v>
      </c>
      <c r="D19" s="85"/>
      <c r="E19" s="85"/>
      <c r="F19" s="85"/>
      <c r="G19" s="86"/>
      <c r="H19" s="87"/>
      <c r="I19" s="86"/>
      <c r="K19" s="87"/>
      <c r="L19" s="86"/>
      <c r="N19" s="88"/>
      <c r="P19" s="74"/>
    </row>
    <row r="20" spans="1:16" s="83" customFormat="1" ht="12.75" x14ac:dyDescent="0.2">
      <c r="B20" s="84" t="str">
        <f>B10</f>
        <v>documents on the School Finance Secure Website or call Aaron McCoy at (208) 332-6846 for information specific to your school for FY 2023.</v>
      </c>
      <c r="D20" s="85"/>
      <c r="E20" s="85"/>
      <c r="F20" s="85"/>
      <c r="G20" s="86"/>
      <c r="H20" s="87"/>
      <c r="I20" s="86"/>
      <c r="K20" s="87"/>
      <c r="L20" s="86"/>
      <c r="N20" s="88"/>
      <c r="P20" s="74"/>
    </row>
    <row r="21" spans="1:16" s="83" customFormat="1" ht="12.75" x14ac:dyDescent="0.2">
      <c r="B21" s="84" t="s">
        <v>252</v>
      </c>
      <c r="D21" s="85"/>
      <c r="E21" s="85"/>
      <c r="F21" s="85"/>
      <c r="G21" s="86"/>
      <c r="H21" s="87"/>
      <c r="I21" s="86"/>
      <c r="K21" s="87"/>
      <c r="L21" s="86"/>
      <c r="N21" s="88"/>
      <c r="P21" s="74"/>
    </row>
    <row r="22" spans="1:16" ht="19.5" x14ac:dyDescent="0.3">
      <c r="A22" s="46"/>
      <c r="B22" s="43"/>
      <c r="C22" s="43"/>
      <c r="D22" s="43"/>
      <c r="E22" s="43"/>
      <c r="F22" s="43"/>
      <c r="G22" s="43"/>
      <c r="H22" s="44"/>
      <c r="I22" s="44"/>
      <c r="J22" s="44"/>
      <c r="K22" s="44"/>
      <c r="L22" s="44"/>
      <c r="M22" s="45"/>
      <c r="N22" s="45"/>
      <c r="O22" s="45"/>
      <c r="P22" s="45"/>
    </row>
    <row r="23" spans="1:16" ht="15" x14ac:dyDescent="0.25">
      <c r="B23" s="11" t="s">
        <v>9</v>
      </c>
      <c r="F23" s="5"/>
      <c r="G23" s="5"/>
      <c r="H23" s="5"/>
      <c r="I23" s="5"/>
      <c r="J23" s="5"/>
      <c r="K23" s="5"/>
      <c r="L23" s="5"/>
    </row>
    <row r="24" spans="1:16" s="6" customFormat="1" ht="51" x14ac:dyDescent="0.2">
      <c r="D24" s="7" t="s">
        <v>253</v>
      </c>
      <c r="E24" s="7"/>
      <c r="F24" s="7"/>
      <c r="G24" s="7" t="s">
        <v>254</v>
      </c>
      <c r="H24" s="7"/>
      <c r="I24" s="7" t="s">
        <v>8</v>
      </c>
      <c r="J24" s="7" t="s">
        <v>3</v>
      </c>
      <c r="K24" s="7"/>
      <c r="L24" s="36" t="s">
        <v>255</v>
      </c>
      <c r="M24" s="8"/>
      <c r="N24" s="40" t="s">
        <v>256</v>
      </c>
    </row>
    <row r="25" spans="1:16" ht="12.75" x14ac:dyDescent="0.2">
      <c r="B25" s="3" t="s">
        <v>5</v>
      </c>
      <c r="D25" s="112">
        <v>0</v>
      </c>
      <c r="E25" s="9" t="s">
        <v>1</v>
      </c>
      <c r="F25" s="9"/>
      <c r="G25" s="113">
        <f>VLOOKUP($D$4,'School Numbers'!$C$8:$L$197,8,FALSE)</f>
        <v>0</v>
      </c>
      <c r="H25" s="9" t="s">
        <v>0</v>
      </c>
      <c r="I25" s="113">
        <f>IFERROR(+D25*G25,"N/A")</f>
        <v>0</v>
      </c>
      <c r="J25" s="9"/>
      <c r="K25" s="9"/>
      <c r="L25" s="116">
        <f>VLOOKUP($D$4,'School Numbers'!$C$8:$W$197,16,FALSE)</f>
        <v>0</v>
      </c>
      <c r="N25" s="50" t="s">
        <v>178</v>
      </c>
    </row>
    <row r="26" spans="1:16" ht="12.75" x14ac:dyDescent="0.2">
      <c r="B26" s="3" t="s">
        <v>4</v>
      </c>
      <c r="D26" s="112">
        <v>0</v>
      </c>
      <c r="E26" s="9" t="s">
        <v>1</v>
      </c>
      <c r="F26" s="9"/>
      <c r="G26" s="113">
        <f>VLOOKUP($D$4,'School Numbers'!$C$8:$L$197,9,FALSE)</f>
        <v>0</v>
      </c>
      <c r="H26" s="9" t="s">
        <v>0</v>
      </c>
      <c r="I26" s="113">
        <f>IFERROR(+D26*G26,"N/A")</f>
        <v>0</v>
      </c>
      <c r="J26" s="9"/>
      <c r="K26" s="9"/>
      <c r="L26" s="116">
        <f>VLOOKUP($D$4,'School Numbers'!$C$8:$W$197,17,FALSE)</f>
        <v>0</v>
      </c>
      <c r="N26" s="51" t="s">
        <v>257</v>
      </c>
    </row>
    <row r="27" spans="1:16" ht="19.5" x14ac:dyDescent="0.3">
      <c r="A27" s="46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45"/>
      <c r="N27" s="45"/>
      <c r="O27" s="45"/>
      <c r="P27" s="45"/>
    </row>
    <row r="28" spans="1:16" ht="15" x14ac:dyDescent="0.25">
      <c r="B28" s="11" t="s">
        <v>7</v>
      </c>
      <c r="H28" s="5"/>
      <c r="I28" s="5"/>
      <c r="J28" s="5"/>
      <c r="K28" s="5"/>
      <c r="L28" s="5"/>
    </row>
    <row r="29" spans="1:16" s="6" customFormat="1" ht="51" x14ac:dyDescent="0.2">
      <c r="D29" s="7" t="str">
        <f>+D24</f>
        <v xml:space="preserve"> Days Present in 
2023-2024</v>
      </c>
      <c r="E29" s="7"/>
      <c r="F29" s="8"/>
      <c r="G29" s="7" t="str">
        <f>+G24</f>
        <v>42% of Previous Year's (2022-2023) Gross 
Daily Tuition Rate</v>
      </c>
      <c r="H29" s="7"/>
      <c r="I29" s="7" t="s">
        <v>6</v>
      </c>
      <c r="J29" s="7" t="s">
        <v>3</v>
      </c>
      <c r="K29" s="7"/>
      <c r="L29" s="36" t="str">
        <f>+L24</f>
        <v xml:space="preserve">Days Present for the 2021-2022 School Year </v>
      </c>
      <c r="M29" s="8"/>
      <c r="N29" s="37" t="str">
        <f>+N24</f>
        <v>Actual days present in 2023-2024 will be used</v>
      </c>
    </row>
    <row r="30" spans="1:16" ht="12.75" x14ac:dyDescent="0.2">
      <c r="B30" s="3" t="s">
        <v>5</v>
      </c>
      <c r="D30" s="112">
        <v>0</v>
      </c>
      <c r="E30" s="9" t="s">
        <v>1</v>
      </c>
      <c r="F30" s="9"/>
      <c r="G30" s="113">
        <f>VLOOKUP($D$4,'School Numbers'!$C$8:$L$197,8,FALSE)</f>
        <v>0</v>
      </c>
      <c r="H30" s="9" t="s">
        <v>0</v>
      </c>
      <c r="I30" s="113">
        <f>IFERROR(+D30*G30,"N/A")</f>
        <v>0</v>
      </c>
      <c r="J30" s="9"/>
      <c r="K30" s="9"/>
      <c r="L30" s="116" t="str">
        <f>VLOOKUP($D$4,'School Numbers'!$C$8:$W$197,18,FALSE)</f>
        <v>N/A</v>
      </c>
      <c r="N30" s="38" t="str">
        <f>+N25</f>
        <v xml:space="preserve">for payment in </v>
      </c>
    </row>
    <row r="31" spans="1:16" ht="12.75" x14ac:dyDescent="0.2">
      <c r="B31" s="3" t="s">
        <v>4</v>
      </c>
      <c r="D31" s="112">
        <v>0</v>
      </c>
      <c r="E31" s="9" t="s">
        <v>1</v>
      </c>
      <c r="F31" s="9"/>
      <c r="G31" s="113">
        <f>VLOOKUP($D$4,'School Numbers'!$C$8:$L$197,9,FALSE)</f>
        <v>0</v>
      </c>
      <c r="H31" s="9" t="s">
        <v>0</v>
      </c>
      <c r="I31" s="113">
        <f>IFERROR(+D31*G31,"N/A")</f>
        <v>0</v>
      </c>
      <c r="J31" s="9"/>
      <c r="K31" s="9"/>
      <c r="L31" s="116" t="str">
        <f>VLOOKUP($D$4,'School Numbers'!$C$8:$W$197,19,FALSE)</f>
        <v>N/A</v>
      </c>
      <c r="N31" s="39" t="str">
        <f>+N26</f>
        <v>FY 2024</v>
      </c>
    </row>
    <row r="32" spans="1:16" ht="19.5" x14ac:dyDescent="0.3">
      <c r="A32" s="46"/>
      <c r="B32" s="43"/>
      <c r="C32" s="43"/>
      <c r="D32" s="43"/>
      <c r="E32" s="43"/>
      <c r="F32" s="43"/>
      <c r="G32" s="43"/>
      <c r="H32" s="44"/>
      <c r="I32" s="44"/>
      <c r="J32" s="44"/>
      <c r="K32" s="44"/>
      <c r="L32" s="44"/>
      <c r="M32" s="45"/>
      <c r="N32" s="45"/>
      <c r="O32" s="45"/>
      <c r="P32" s="45"/>
    </row>
    <row r="33" spans="1:16" ht="15" x14ac:dyDescent="0.25">
      <c r="B33" s="11" t="s">
        <v>18</v>
      </c>
      <c r="H33" s="5"/>
      <c r="I33" s="5"/>
      <c r="J33" s="5"/>
      <c r="K33" s="5"/>
      <c r="L33" s="5"/>
    </row>
    <row r="34" spans="1:16" s="6" customFormat="1" ht="51" x14ac:dyDescent="0.2">
      <c r="D34" s="7" t="s">
        <v>258</v>
      </c>
      <c r="E34" s="7" t="s">
        <v>3</v>
      </c>
      <c r="F34" s="7" t="s">
        <v>3</v>
      </c>
      <c r="G34" s="7" t="s">
        <v>259</v>
      </c>
      <c r="H34" s="7"/>
      <c r="I34" s="7" t="s">
        <v>6</v>
      </c>
      <c r="J34" s="7" t="s">
        <v>3</v>
      </c>
      <c r="K34" s="7"/>
      <c r="L34" s="110" t="s">
        <v>260</v>
      </c>
      <c r="M34" s="8"/>
      <c r="N34" s="37" t="s">
        <v>261</v>
      </c>
    </row>
    <row r="35" spans="1:16" ht="12.75" x14ac:dyDescent="0.2">
      <c r="B35" s="3" t="s">
        <v>5</v>
      </c>
      <c r="D35" s="112">
        <v>0</v>
      </c>
      <c r="E35" s="9" t="s">
        <v>1</v>
      </c>
      <c r="F35" s="9"/>
      <c r="G35" s="113">
        <f>IFERROR(ROUND(G30/2,2),"N/A")</f>
        <v>0</v>
      </c>
      <c r="H35" s="9" t="s">
        <v>0</v>
      </c>
      <c r="I35" s="113">
        <f>IFERROR(+D35*G35,"N/A")</f>
        <v>0</v>
      </c>
      <c r="J35" s="9"/>
      <c r="K35" s="9"/>
      <c r="L35" s="116" t="str">
        <f>VLOOKUP($D$4,'School Numbers'!$C$8:$W$197,20,FALSE)</f>
        <v>N/A</v>
      </c>
      <c r="N35" s="38" t="str">
        <f>+N30</f>
        <v xml:space="preserve">for payment in </v>
      </c>
    </row>
    <row r="36" spans="1:16" ht="12.75" x14ac:dyDescent="0.2">
      <c r="B36" s="3" t="s">
        <v>4</v>
      </c>
      <c r="D36" s="112">
        <v>0</v>
      </c>
      <c r="E36" s="9" t="s">
        <v>1</v>
      </c>
      <c r="F36" s="9"/>
      <c r="G36" s="113">
        <f>IFERROR(ROUND(G31/2,2),"N/A")</f>
        <v>0</v>
      </c>
      <c r="H36" s="9" t="s">
        <v>0</v>
      </c>
      <c r="I36" s="113">
        <f>IFERROR(+D36*G36,"N/A")</f>
        <v>0</v>
      </c>
      <c r="J36" s="9"/>
      <c r="K36" s="9"/>
      <c r="L36" s="116" t="str">
        <f>VLOOKUP($D$4,'School Numbers'!$C$8:$W$197,21,FALSE)</f>
        <v>N/A</v>
      </c>
      <c r="N36" s="39" t="str">
        <f>+N31</f>
        <v>FY 2024</v>
      </c>
    </row>
    <row r="37" spans="1:16" ht="19.5" x14ac:dyDescent="0.3">
      <c r="A37" s="46"/>
      <c r="B37" s="43"/>
      <c r="C37" s="43"/>
      <c r="D37" s="43"/>
      <c r="E37" s="43"/>
      <c r="F37" s="43"/>
      <c r="G37" s="43"/>
      <c r="H37" s="44"/>
      <c r="I37" s="44"/>
      <c r="J37" s="44"/>
      <c r="K37" s="44"/>
      <c r="L37" s="44"/>
      <c r="M37" s="45"/>
      <c r="N37" s="45"/>
      <c r="O37" s="45"/>
      <c r="P37" s="45"/>
    </row>
    <row r="38" spans="1:16" ht="17.25" x14ac:dyDescent="0.3">
      <c r="A38" s="4" t="s">
        <v>239</v>
      </c>
      <c r="I38" s="5"/>
      <c r="J38" s="5"/>
      <c r="K38" s="5"/>
      <c r="L38" s="5"/>
    </row>
    <row r="39" spans="1:16" s="8" customFormat="1" ht="63.75" x14ac:dyDescent="0.2">
      <c r="B39" s="41" t="s">
        <v>263</v>
      </c>
      <c r="D39" s="7" t="s">
        <v>275</v>
      </c>
      <c r="E39" s="7"/>
      <c r="F39" s="7"/>
      <c r="G39" s="7" t="s">
        <v>2</v>
      </c>
      <c r="H39" s="9"/>
      <c r="I39" s="36" t="s">
        <v>262</v>
      </c>
      <c r="J39" s="5"/>
      <c r="K39" s="5"/>
      <c r="L39" s="5"/>
    </row>
    <row r="40" spans="1:16" ht="12.75" x14ac:dyDescent="0.2">
      <c r="B40" s="112">
        <f>LOOKUP($D$4,'School Numbers'!$C$8:$C$196,'School Numbers'!M8:M196)</f>
        <v>0</v>
      </c>
      <c r="C40" s="9" t="s">
        <v>1</v>
      </c>
      <c r="D40" s="113">
        <f>+I16</f>
        <v>8800</v>
      </c>
      <c r="E40" s="9" t="s">
        <v>0</v>
      </c>
      <c r="F40" s="9"/>
      <c r="G40" s="113">
        <f>IFERROR(+B40*D40,"N/A")</f>
        <v>0</v>
      </c>
      <c r="H40" s="9"/>
      <c r="I40" s="117">
        <v>0</v>
      </c>
      <c r="J40" s="5"/>
      <c r="K40" s="5"/>
      <c r="L40" s="5"/>
      <c r="M40" s="8"/>
    </row>
    <row r="41" spans="1:16" s="83" customFormat="1" ht="12.75" x14ac:dyDescent="0.2">
      <c r="B41" s="84" t="str">
        <f>B9</f>
        <v>*  Prior year information cannot be shown due to rules governing personally identifiable information.  Please review the FY 2023 Other State Funding</v>
      </c>
      <c r="D41" s="85"/>
      <c r="E41" s="85"/>
      <c r="F41" s="85"/>
      <c r="G41" s="86"/>
      <c r="H41" s="87"/>
      <c r="I41" s="86"/>
      <c r="K41" s="87"/>
      <c r="L41" s="86"/>
      <c r="N41" s="88"/>
      <c r="P41" s="74"/>
    </row>
    <row r="42" spans="1:16" s="83" customFormat="1" ht="12.75" x14ac:dyDescent="0.2">
      <c r="B42" s="84" t="str">
        <f>B10</f>
        <v>documents on the School Finance Secure Website or call Aaron McCoy at (208) 332-6846 for information specific to your school for FY 2023.</v>
      </c>
      <c r="D42" s="85"/>
      <c r="E42" s="85"/>
      <c r="F42" s="85"/>
      <c r="G42" s="86"/>
      <c r="H42" s="87"/>
      <c r="I42" s="86"/>
      <c r="K42" s="87"/>
      <c r="L42" s="86"/>
      <c r="N42" s="88"/>
      <c r="P42" s="74"/>
    </row>
    <row r="43" spans="1:16" ht="12.75" x14ac:dyDescent="0.2">
      <c r="B43" s="128" t="s">
        <v>238</v>
      </c>
      <c r="C43" s="9"/>
      <c r="D43" s="64"/>
      <c r="E43" s="5"/>
      <c r="F43" s="5"/>
      <c r="G43" s="64"/>
      <c r="H43" s="5"/>
      <c r="I43" s="65"/>
      <c r="J43" s="5"/>
      <c r="K43" s="5"/>
      <c r="L43" s="5"/>
      <c r="M43" s="8"/>
    </row>
    <row r="44" spans="1:16" ht="17.25" x14ac:dyDescent="0.3">
      <c r="A44" s="68" t="s">
        <v>289</v>
      </c>
      <c r="B44" s="66"/>
      <c r="C44" s="69"/>
      <c r="D44" s="66"/>
      <c r="E44" s="70"/>
      <c r="F44" s="70"/>
      <c r="G44" s="66"/>
      <c r="H44" s="70"/>
      <c r="I44" s="120">
        <f>+G8+L16+L17+I25+I26+I30+I35+I36+G40</f>
        <v>0</v>
      </c>
      <c r="J44" s="118"/>
      <c r="K44" s="118"/>
      <c r="L44" s="119"/>
      <c r="M44" s="8"/>
      <c r="N44" s="67" t="s">
        <v>3</v>
      </c>
    </row>
    <row r="45" spans="1:16" ht="19.5" x14ac:dyDescent="0.3">
      <c r="A45" s="46"/>
      <c r="B45" s="43"/>
      <c r="C45" s="43"/>
      <c r="D45" s="43"/>
      <c r="E45" s="43"/>
      <c r="F45" s="43"/>
      <c r="G45" s="43"/>
      <c r="H45" s="44"/>
      <c r="I45" s="44"/>
      <c r="J45" s="44"/>
      <c r="K45" s="44"/>
      <c r="L45" s="44"/>
      <c r="M45" s="45"/>
      <c r="N45" s="45"/>
      <c r="O45" s="45"/>
      <c r="P45" s="45"/>
    </row>
    <row r="46" spans="1:16" ht="15" x14ac:dyDescent="0.25">
      <c r="A46" s="53" t="s">
        <v>228</v>
      </c>
    </row>
    <row r="47" spans="1:16" ht="9.9499999999999993" customHeight="1" x14ac:dyDescent="0.3">
      <c r="A47" s="46"/>
      <c r="B47" s="46"/>
      <c r="C47" s="46"/>
      <c r="D47" s="46"/>
      <c r="E47" s="46"/>
      <c r="F47" s="46"/>
      <c r="G47" s="46"/>
      <c r="H47" s="47"/>
      <c r="I47" s="47"/>
      <c r="J47" s="47"/>
      <c r="K47" s="47"/>
      <c r="L47" s="47"/>
      <c r="M47" s="48"/>
      <c r="N47" s="48"/>
      <c r="O47" s="48"/>
      <c r="P47" s="48"/>
    </row>
  </sheetData>
  <sheetProtection algorithmName="SHA-512" hashValue="QqYhsoGFr3y+RE6/ZMXHaq2Q6ndLzD+lFx48mEGSaq2IB1ooCGsE5LIslM89U7Bvn5KPSj8nLgfbCq08RaT38g==" saltValue="B3NzigFGSz/7AOUPCS5Kdg==" spinCount="100000" sheet="1" objects="1" scenarios="1"/>
  <pageMargins left="0.2" right="0.2" top="0.5" bottom="0.5" header="0.3" footer="0.3"/>
  <pageSetup scale="79" orientation="portrait" r:id="rId1"/>
  <headerFooter alignWithMargins="0">
    <oddFooter xml:space="preserve">&amp;L&amp;8&amp;F
&amp;A&amp;R&amp;8&amp;D
&amp;T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W208"/>
  <sheetViews>
    <sheetView zoomScaleNormal="100" workbookViewId="0">
      <pane xSplit="4" ySplit="7" topLeftCell="E8" activePane="bottomRight" state="frozen"/>
      <selection activeCell="D20" sqref="D20:F20"/>
      <selection pane="topRight" activeCell="D20" sqref="D20:F20"/>
      <selection pane="bottomLeft" activeCell="D20" sqref="D20:F20"/>
      <selection pane="bottomRight" activeCell="C4" sqref="C4"/>
    </sheetView>
  </sheetViews>
  <sheetFormatPr defaultColWidth="9.140625" defaultRowHeight="12.75" x14ac:dyDescent="0.2"/>
  <cols>
    <col min="1" max="1" width="0" style="80" hidden="1" customWidth="1"/>
    <col min="2" max="2" width="9.140625" style="14" hidden="1" customWidth="1"/>
    <col min="3" max="3" width="8.7109375" style="17" customWidth="1"/>
    <col min="4" max="4" width="48.140625" style="17" bestFit="1" customWidth="1"/>
    <col min="5" max="5" width="12.28515625" style="16" hidden="1" customWidth="1"/>
    <col min="6" max="7" width="10.5703125" style="16" hidden="1" customWidth="1"/>
    <col min="8" max="23" width="10.7109375" style="15" hidden="1" customWidth="1"/>
    <col min="24" max="33" width="9.140625" style="14" customWidth="1"/>
    <col min="34" max="16384" width="9.140625" style="14"/>
  </cols>
  <sheetData>
    <row r="1" spans="1:23" s="15" customFormat="1" hidden="1" x14ac:dyDescent="0.2">
      <c r="A1" s="79"/>
      <c r="C1" s="55" t="s">
        <v>175</v>
      </c>
      <c r="O1"/>
      <c r="P1"/>
      <c r="Q1"/>
      <c r="R1"/>
    </row>
    <row r="2" spans="1:23" s="15" customFormat="1" hidden="1" x14ac:dyDescent="0.2">
      <c r="A2" s="79"/>
      <c r="C2" s="56" t="s">
        <v>174</v>
      </c>
      <c r="F2" s="15" t="s">
        <v>173</v>
      </c>
      <c r="O2"/>
      <c r="P2"/>
      <c r="Q2"/>
      <c r="R2"/>
    </row>
    <row r="3" spans="1:23" s="15" customFormat="1" hidden="1" x14ac:dyDescent="0.2">
      <c r="A3" s="79"/>
      <c r="C3" s="56" t="s">
        <v>172</v>
      </c>
      <c r="O3"/>
      <c r="P3"/>
      <c r="Q3"/>
      <c r="R3"/>
    </row>
    <row r="4" spans="1:23" s="15" customFormat="1" x14ac:dyDescent="0.2">
      <c r="A4" s="79"/>
      <c r="C4" s="71" t="s">
        <v>288</v>
      </c>
      <c r="O4"/>
      <c r="P4"/>
      <c r="Q4"/>
      <c r="R4"/>
    </row>
    <row r="5" spans="1:23" s="15" customFormat="1" ht="13.5" thickBot="1" x14ac:dyDescent="0.25">
      <c r="A5" s="79"/>
      <c r="C5" s="18" t="s">
        <v>180</v>
      </c>
      <c r="J5" s="55" t="s">
        <v>287</v>
      </c>
      <c r="O5"/>
      <c r="P5"/>
      <c r="Q5"/>
      <c r="R5"/>
    </row>
    <row r="6" spans="1:23" s="15" customFormat="1" ht="13.5" thickBot="1" x14ac:dyDescent="0.25">
      <c r="A6" s="79"/>
      <c r="C6" s="18"/>
      <c r="O6" s="76" t="s">
        <v>199</v>
      </c>
      <c r="P6" s="77"/>
      <c r="Q6" s="78"/>
    </row>
    <row r="7" spans="1:23" s="15" customFormat="1" ht="53.25" customHeight="1" x14ac:dyDescent="0.2">
      <c r="A7" s="82" t="s">
        <v>200</v>
      </c>
      <c r="C7" s="52" t="s">
        <v>181</v>
      </c>
      <c r="D7" s="54" t="s">
        <v>171</v>
      </c>
      <c r="E7" s="52" t="s">
        <v>272</v>
      </c>
      <c r="F7" s="52" t="s">
        <v>273</v>
      </c>
      <c r="G7" s="52" t="s">
        <v>277</v>
      </c>
      <c r="H7" s="52" t="s">
        <v>282</v>
      </c>
      <c r="I7" s="52" t="s">
        <v>283</v>
      </c>
      <c r="J7" s="89" t="s">
        <v>284</v>
      </c>
      <c r="K7" s="89" t="s">
        <v>285</v>
      </c>
      <c r="L7" s="52" t="s">
        <v>274</v>
      </c>
      <c r="M7" s="122" t="s">
        <v>236</v>
      </c>
      <c r="N7" s="122" t="s">
        <v>216</v>
      </c>
      <c r="O7" s="122" t="s">
        <v>232</v>
      </c>
      <c r="P7" s="123" t="s">
        <v>233</v>
      </c>
      <c r="Q7" s="123" t="s">
        <v>234</v>
      </c>
      <c r="R7" s="52" t="s">
        <v>268</v>
      </c>
      <c r="S7" s="52" t="s">
        <v>269</v>
      </c>
      <c r="T7" s="52" t="s">
        <v>270</v>
      </c>
      <c r="U7" s="52" t="s">
        <v>271</v>
      </c>
      <c r="V7" s="52" t="s">
        <v>230</v>
      </c>
      <c r="W7" s="52" t="s">
        <v>231</v>
      </c>
    </row>
    <row r="8" spans="1:23" x14ac:dyDescent="0.2">
      <c r="B8" s="129">
        <f>SUM(B9:B198)</f>
        <v>0</v>
      </c>
      <c r="C8" s="57">
        <v>0</v>
      </c>
      <c r="D8" s="29" t="s">
        <v>3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4">
        <v>8800</v>
      </c>
      <c r="M8" s="20">
        <v>0</v>
      </c>
      <c r="N8" s="20">
        <v>0</v>
      </c>
      <c r="O8" s="103"/>
      <c r="P8" s="20">
        <v>0</v>
      </c>
      <c r="Q8" s="20">
        <v>0</v>
      </c>
      <c r="R8" s="20">
        <v>0</v>
      </c>
      <c r="S8" s="20">
        <v>0</v>
      </c>
      <c r="T8" s="20" t="s">
        <v>25</v>
      </c>
      <c r="U8" s="20" t="s">
        <v>25</v>
      </c>
      <c r="V8" s="20" t="s">
        <v>25</v>
      </c>
      <c r="W8" s="20" t="s">
        <v>25</v>
      </c>
    </row>
    <row r="9" spans="1:23" x14ac:dyDescent="0.2">
      <c r="A9" s="130">
        <v>1</v>
      </c>
      <c r="B9" s="72">
        <f>+A9-C9</f>
        <v>0</v>
      </c>
      <c r="C9" s="57">
        <v>1</v>
      </c>
      <c r="D9" s="58" t="s">
        <v>170</v>
      </c>
      <c r="E9" s="24">
        <v>5860.76</v>
      </c>
      <c r="F9" s="24">
        <f>+VLOOKUP(C9,'[1]Rates Emailed to LEAs 5.27'!$A$10:$H$197,4,FALSE)</f>
        <v>1147.67</v>
      </c>
      <c r="G9" s="24">
        <f>+VLOOKUP(C9,'[1]Rates Emailed to LEAs 5.27'!$A$10:$H$197,8,FALSE)</f>
        <v>1229.69</v>
      </c>
      <c r="H9" s="23">
        <f>IFERROR((ROUND(F9*9*0.42,2)),"n/a")</f>
        <v>4338.1899999999996</v>
      </c>
      <c r="I9" s="23">
        <f t="shared" ref="I9:I40" si="0">IFERROR((ROUND(G9*9*0.42,2)),"n/a")</f>
        <v>4648.2299999999996</v>
      </c>
      <c r="J9" s="23">
        <f t="shared" ref="J9:K9" si="1">IF(F9="N/A","N/A",ROUND((F9*0.42)/20,2))</f>
        <v>24.1</v>
      </c>
      <c r="K9" s="23">
        <f t="shared" si="1"/>
        <v>25.82</v>
      </c>
      <c r="L9" s="131">
        <f>$L$8</f>
        <v>8800</v>
      </c>
      <c r="M9" s="20"/>
      <c r="N9" s="20"/>
      <c r="O9" s="104"/>
      <c r="P9" s="105"/>
      <c r="Q9" s="105"/>
      <c r="R9" s="106">
        <v>3032</v>
      </c>
      <c r="S9" s="106">
        <v>3381</v>
      </c>
      <c r="T9" s="107">
        <v>28</v>
      </c>
      <c r="U9" s="107">
        <v>1270.3499999999999</v>
      </c>
      <c r="V9" s="107">
        <v>0</v>
      </c>
      <c r="W9" s="107">
        <v>394.4</v>
      </c>
    </row>
    <row r="10" spans="1:23" x14ac:dyDescent="0.2">
      <c r="A10" s="130">
        <v>2</v>
      </c>
      <c r="B10" s="72">
        <f>+A10-C10</f>
        <v>0</v>
      </c>
      <c r="C10" s="57">
        <v>2</v>
      </c>
      <c r="D10" s="58" t="s">
        <v>201</v>
      </c>
      <c r="E10" s="24">
        <v>5758.4</v>
      </c>
      <c r="F10" s="24">
        <f>+VLOOKUP(C10,'[1]Rates Emailed to LEAs 5.27'!$A$10:$H$197,4,FALSE)</f>
        <v>827.6</v>
      </c>
      <c r="G10" s="24">
        <f>+VLOOKUP(C10,'[1]Rates Emailed to LEAs 5.27'!$A$10:$H$197,8,FALSE)</f>
        <v>800.32</v>
      </c>
      <c r="H10" s="23">
        <f t="shared" ref="H10:H73" si="2">IFERROR((ROUND(F10*9*0.42,2)),"n/a")</f>
        <v>3128.33</v>
      </c>
      <c r="I10" s="23">
        <f t="shared" ref="I10:I73" si="3">IFERROR((ROUND(G10*9*0.42,2)),"n/a")</f>
        <v>3025.21</v>
      </c>
      <c r="J10" s="23">
        <f t="shared" ref="J10:J73" si="4">IF(F10="N/A","N/A",ROUND((F10*0.42)/20,2))</f>
        <v>17.38</v>
      </c>
      <c r="K10" s="23">
        <f t="shared" ref="K10:K73" si="5">IF(G10="N/A","N/A",ROUND((G10*0.42)/20,2))</f>
        <v>16.809999999999999</v>
      </c>
      <c r="L10" s="131">
        <f t="shared" ref="L10:L11" si="6">$L$8</f>
        <v>8800</v>
      </c>
      <c r="M10" s="20"/>
      <c r="N10" s="20"/>
      <c r="O10" s="104"/>
      <c r="P10" s="105"/>
      <c r="Q10" s="105"/>
      <c r="R10" s="106">
        <v>7408</v>
      </c>
      <c r="S10" s="106">
        <v>5968.5</v>
      </c>
      <c r="T10" s="20" t="s">
        <v>25</v>
      </c>
      <c r="U10" s="20" t="s">
        <v>25</v>
      </c>
      <c r="V10" s="20" t="s">
        <v>25</v>
      </c>
      <c r="W10" s="20" t="s">
        <v>25</v>
      </c>
    </row>
    <row r="11" spans="1:23" x14ac:dyDescent="0.2">
      <c r="A11" s="130">
        <v>3</v>
      </c>
      <c r="B11" s="72">
        <f>+A11-C11</f>
        <v>0</v>
      </c>
      <c r="C11" s="57">
        <v>3</v>
      </c>
      <c r="D11" s="59" t="s">
        <v>167</v>
      </c>
      <c r="E11" s="24">
        <v>5613.16</v>
      </c>
      <c r="F11" s="24">
        <f>+VLOOKUP(C11,'[1]Rates Emailed to LEAs 5.27'!$A$10:$H$197,4,FALSE)</f>
        <v>729.03</v>
      </c>
      <c r="G11" s="24">
        <f>+VLOOKUP(C11,'[1]Rates Emailed to LEAs 5.27'!$A$10:$H$197,8,FALSE)</f>
        <v>873.11</v>
      </c>
      <c r="H11" s="23">
        <f t="shared" si="2"/>
        <v>2755.73</v>
      </c>
      <c r="I11" s="23">
        <f t="shared" si="3"/>
        <v>3300.36</v>
      </c>
      <c r="J11" s="23">
        <f t="shared" si="4"/>
        <v>15.31</v>
      </c>
      <c r="K11" s="23">
        <f t="shared" si="5"/>
        <v>18.34</v>
      </c>
      <c r="L11" s="131">
        <f t="shared" si="6"/>
        <v>8800</v>
      </c>
      <c r="M11" s="20"/>
      <c r="N11" s="20"/>
      <c r="O11" s="104"/>
      <c r="P11" s="105"/>
      <c r="Q11" s="108"/>
      <c r="R11" s="106">
        <v>445.3</v>
      </c>
      <c r="S11" s="106">
        <v>735.7</v>
      </c>
      <c r="T11" s="20" t="s">
        <v>25</v>
      </c>
      <c r="U11" s="20" t="s">
        <v>25</v>
      </c>
      <c r="V11" s="20" t="s">
        <v>25</v>
      </c>
      <c r="W11" s="20" t="s">
        <v>25</v>
      </c>
    </row>
    <row r="12" spans="1:23" x14ac:dyDescent="0.2">
      <c r="A12" s="130">
        <v>11</v>
      </c>
      <c r="B12" s="72">
        <f>+A12-C12</f>
        <v>0</v>
      </c>
      <c r="C12" s="57">
        <v>11</v>
      </c>
      <c r="D12" s="59" t="s">
        <v>166</v>
      </c>
      <c r="E12" s="24">
        <v>10220.15</v>
      </c>
      <c r="F12" s="24">
        <f>+VLOOKUP(C12,'[1]Rates Emailed to LEAs 5.27'!$A$10:$H$197,4,FALSE)</f>
        <v>1215.5899999999999</v>
      </c>
      <c r="G12" s="24">
        <f>+VLOOKUP(C12,'[1]Rates Emailed to LEAs 5.27'!$A$10:$H$197,8,FALSE)</f>
        <v>1560.94</v>
      </c>
      <c r="H12" s="23">
        <f t="shared" si="2"/>
        <v>4594.93</v>
      </c>
      <c r="I12" s="23">
        <f t="shared" si="3"/>
        <v>5900.35</v>
      </c>
      <c r="J12" s="121">
        <f>IF(F12="N/A","N/A",ROUND((F12*0.42)/16,2))</f>
        <v>31.91</v>
      </c>
      <c r="K12" s="121">
        <f>IF(G12="N/A","N/A",ROUND((G12*0.42)/16,2))</f>
        <v>40.97</v>
      </c>
      <c r="L12" s="24">
        <v>8800</v>
      </c>
      <c r="M12" s="20"/>
      <c r="N12" s="20"/>
      <c r="O12" s="104"/>
      <c r="P12" s="105"/>
      <c r="Q12" s="108"/>
      <c r="R12" s="106"/>
      <c r="S12" s="106"/>
      <c r="T12" s="20" t="s">
        <v>25</v>
      </c>
      <c r="U12" s="20" t="s">
        <v>25</v>
      </c>
      <c r="V12" s="20" t="s">
        <v>25</v>
      </c>
      <c r="W12" s="20" t="s">
        <v>25</v>
      </c>
    </row>
    <row r="13" spans="1:23" x14ac:dyDescent="0.2">
      <c r="A13" s="130">
        <v>13</v>
      </c>
      <c r="B13" s="72">
        <f>+A13-C13</f>
        <v>0</v>
      </c>
      <c r="C13" s="57">
        <v>13</v>
      </c>
      <c r="D13" s="58" t="s">
        <v>165</v>
      </c>
      <c r="E13" s="24">
        <v>7326.67</v>
      </c>
      <c r="F13" s="24">
        <f>+VLOOKUP(C13,'[1]Rates Emailed to LEAs 5.27'!$A$10:$H$197,4,FALSE)</f>
        <v>897.47</v>
      </c>
      <c r="G13" s="24">
        <f>+VLOOKUP(C13,'[1]Rates Emailed to LEAs 5.27'!$A$10:$H$197,8,FALSE)</f>
        <v>1027.7</v>
      </c>
      <c r="H13" s="23">
        <f t="shared" si="2"/>
        <v>3392.44</v>
      </c>
      <c r="I13" s="23">
        <f t="shared" si="3"/>
        <v>3884.71</v>
      </c>
      <c r="J13" s="121">
        <f t="shared" ref="J13:J14" si="7">IF(F13="N/A","N/A",ROUND((F13*0.42)/16,2))</f>
        <v>23.56</v>
      </c>
      <c r="K13" s="121">
        <f t="shared" ref="K13:K14" si="8">IF(G13="N/A","N/A",ROUND((G13*0.42)/16,2))</f>
        <v>26.98</v>
      </c>
      <c r="L13" s="24">
        <v>8800</v>
      </c>
      <c r="M13" s="20"/>
      <c r="N13" s="20"/>
      <c r="O13" s="104"/>
      <c r="P13" s="105"/>
      <c r="Q13" s="105"/>
      <c r="R13" s="106"/>
      <c r="S13" s="106"/>
      <c r="T13" s="20" t="s">
        <v>25</v>
      </c>
      <c r="U13" s="20" t="s">
        <v>25</v>
      </c>
      <c r="V13" s="20" t="s">
        <v>25</v>
      </c>
      <c r="W13" s="20" t="s">
        <v>25</v>
      </c>
    </row>
    <row r="14" spans="1:23" x14ac:dyDescent="0.2">
      <c r="A14" s="130">
        <v>21</v>
      </c>
      <c r="B14" s="72">
        <f>+A14-C14</f>
        <v>0</v>
      </c>
      <c r="C14" s="57">
        <v>21</v>
      </c>
      <c r="D14" s="58" t="s">
        <v>164</v>
      </c>
      <c r="E14" s="24">
        <v>6399.9</v>
      </c>
      <c r="F14" s="24">
        <f>+VLOOKUP(C14,'[1]Rates Emailed to LEAs 5.27'!$A$10:$H$197,4,FALSE)</f>
        <v>743.74</v>
      </c>
      <c r="G14" s="24">
        <f>+VLOOKUP(C14,'[1]Rates Emailed to LEAs 5.27'!$A$10:$H$197,8,FALSE)</f>
        <v>801.7</v>
      </c>
      <c r="H14" s="23">
        <f t="shared" si="2"/>
        <v>2811.34</v>
      </c>
      <c r="I14" s="23">
        <f t="shared" si="3"/>
        <v>3030.43</v>
      </c>
      <c r="J14" s="121">
        <f t="shared" si="7"/>
        <v>19.52</v>
      </c>
      <c r="K14" s="121">
        <f t="shared" si="8"/>
        <v>21.04</v>
      </c>
      <c r="L14" s="24">
        <v>8800</v>
      </c>
      <c r="M14" s="20"/>
      <c r="N14" s="20"/>
      <c r="O14" s="104"/>
      <c r="P14" s="105"/>
      <c r="Q14" s="105"/>
      <c r="R14" s="106"/>
      <c r="S14" s="106"/>
      <c r="T14" s="20" t="s">
        <v>25</v>
      </c>
      <c r="U14" s="20" t="s">
        <v>25</v>
      </c>
      <c r="V14" s="20" t="s">
        <v>25</v>
      </c>
      <c r="W14" s="20" t="s">
        <v>25</v>
      </c>
    </row>
    <row r="15" spans="1:23" x14ac:dyDescent="0.2">
      <c r="A15" s="130">
        <v>25</v>
      </c>
      <c r="B15" s="72">
        <f>+A15-C15</f>
        <v>0</v>
      </c>
      <c r="C15" s="57">
        <v>25</v>
      </c>
      <c r="D15" s="59" t="s">
        <v>163</v>
      </c>
      <c r="E15" s="24">
        <v>5734.92</v>
      </c>
      <c r="F15" s="24">
        <f>+VLOOKUP(C15,'[1]Rates Emailed to LEAs 5.27'!$A$10:$H$197,4,FALSE)</f>
        <v>708.47</v>
      </c>
      <c r="G15" s="24">
        <f>+VLOOKUP(C15,'[1]Rates Emailed to LEAs 5.27'!$A$10:$H$197,8,FALSE)</f>
        <v>719.7</v>
      </c>
      <c r="H15" s="23">
        <f t="shared" si="2"/>
        <v>2678.02</v>
      </c>
      <c r="I15" s="23">
        <f t="shared" si="3"/>
        <v>2720.47</v>
      </c>
      <c r="J15" s="23">
        <f t="shared" si="4"/>
        <v>14.88</v>
      </c>
      <c r="K15" s="23">
        <f t="shared" si="5"/>
        <v>15.11</v>
      </c>
      <c r="L15" s="131">
        <f>$L$8</f>
        <v>8800</v>
      </c>
      <c r="M15" s="20"/>
      <c r="N15" s="20"/>
      <c r="O15" s="104"/>
      <c r="P15" s="105"/>
      <c r="Q15" s="105"/>
      <c r="R15" s="106">
        <v>1905.5</v>
      </c>
      <c r="S15" s="106">
        <v>3538.5</v>
      </c>
      <c r="T15" s="107">
        <v>57.06</v>
      </c>
      <c r="U15" s="107">
        <v>2061.88</v>
      </c>
      <c r="V15" s="107">
        <v>41.3</v>
      </c>
      <c r="W15" s="107">
        <v>533.5</v>
      </c>
    </row>
    <row r="16" spans="1:23" x14ac:dyDescent="0.2">
      <c r="A16" s="130">
        <v>33</v>
      </c>
      <c r="B16" s="72">
        <f>+A16-C16</f>
        <v>0</v>
      </c>
      <c r="C16" s="57">
        <v>33</v>
      </c>
      <c r="D16" s="58" t="s">
        <v>162</v>
      </c>
      <c r="E16" s="24">
        <v>5622.84</v>
      </c>
      <c r="F16" s="24">
        <f>+VLOOKUP(C16,'[1]Rates Emailed to LEAs 5.27'!$A$10:$H$197,4,FALSE)</f>
        <v>613.91</v>
      </c>
      <c r="G16" s="24">
        <f>+VLOOKUP(C16,'[1]Rates Emailed to LEAs 5.27'!$A$10:$H$197,8,FALSE)</f>
        <v>891.15</v>
      </c>
      <c r="H16" s="23">
        <f t="shared" si="2"/>
        <v>2320.58</v>
      </c>
      <c r="I16" s="23">
        <f t="shared" si="3"/>
        <v>3368.55</v>
      </c>
      <c r="J16" s="121">
        <f>IF(F16="N/A","N/A",ROUND((F16*0.42)/16,2))</f>
        <v>16.12</v>
      </c>
      <c r="K16" s="121">
        <f>IF(G16="N/A","N/A",ROUND((G16*0.42)/16,2))</f>
        <v>23.39</v>
      </c>
      <c r="L16" s="24">
        <v>8800</v>
      </c>
      <c r="M16" s="20"/>
      <c r="N16" s="20"/>
      <c r="O16" s="104"/>
      <c r="P16" s="105"/>
      <c r="Q16" s="105"/>
      <c r="R16" s="106"/>
      <c r="S16" s="106">
        <v>57</v>
      </c>
      <c r="T16" s="20" t="s">
        <v>25</v>
      </c>
      <c r="U16" s="20" t="s">
        <v>25</v>
      </c>
      <c r="V16" s="20" t="s">
        <v>25</v>
      </c>
      <c r="W16" s="20" t="s">
        <v>25</v>
      </c>
    </row>
    <row r="17" spans="1:23" x14ac:dyDescent="0.2">
      <c r="A17" s="130">
        <v>41</v>
      </c>
      <c r="B17" s="72">
        <f>+A17-C17</f>
        <v>0</v>
      </c>
      <c r="C17" s="57">
        <v>41</v>
      </c>
      <c r="D17" s="59" t="s">
        <v>161</v>
      </c>
      <c r="E17" s="24">
        <v>6600.51</v>
      </c>
      <c r="F17" s="24">
        <f>+VLOOKUP(C17,'[1]Rates Emailed to LEAs 5.27'!$A$10:$H$197,4,FALSE)</f>
        <v>1002.51</v>
      </c>
      <c r="G17" s="24">
        <f>+VLOOKUP(C17,'[1]Rates Emailed to LEAs 5.27'!$A$10:$H$197,8,FALSE)</f>
        <v>1088.01</v>
      </c>
      <c r="H17" s="23">
        <f t="shared" si="2"/>
        <v>3789.49</v>
      </c>
      <c r="I17" s="23">
        <f t="shared" si="3"/>
        <v>4112.68</v>
      </c>
      <c r="J17" s="23">
        <f t="shared" si="4"/>
        <v>21.05</v>
      </c>
      <c r="K17" s="23">
        <f t="shared" si="5"/>
        <v>22.85</v>
      </c>
      <c r="L17" s="131">
        <f t="shared" ref="L17:L18" si="9">$L$8</f>
        <v>8800</v>
      </c>
      <c r="M17" s="20"/>
      <c r="N17" s="20"/>
      <c r="O17" s="104"/>
      <c r="P17" s="105"/>
      <c r="Q17" s="105"/>
      <c r="R17" s="106">
        <v>4</v>
      </c>
      <c r="S17" s="106">
        <v>94</v>
      </c>
      <c r="T17" s="20" t="s">
        <v>25</v>
      </c>
      <c r="U17" s="20" t="s">
        <v>25</v>
      </c>
      <c r="V17" s="20" t="s">
        <v>25</v>
      </c>
      <c r="W17" s="20" t="s">
        <v>25</v>
      </c>
    </row>
    <row r="18" spans="1:23" x14ac:dyDescent="0.2">
      <c r="A18" s="130">
        <v>44</v>
      </c>
      <c r="B18" s="72">
        <f>+A18-C18</f>
        <v>0</v>
      </c>
      <c r="C18" s="57">
        <v>44</v>
      </c>
      <c r="D18" s="58" t="s">
        <v>160</v>
      </c>
      <c r="E18" s="24">
        <v>7554.02</v>
      </c>
      <c r="F18" s="24">
        <f>+VLOOKUP(C18,'[1]Rates Emailed to LEAs 5.27'!$A$10:$H$197,4,FALSE)</f>
        <v>1441.92</v>
      </c>
      <c r="G18" s="24">
        <f>+VLOOKUP(C18,'[1]Rates Emailed to LEAs 5.27'!$A$10:$H$197,8,FALSE)</f>
        <v>1644.7</v>
      </c>
      <c r="H18" s="23">
        <f t="shared" si="2"/>
        <v>5450.46</v>
      </c>
      <c r="I18" s="23">
        <f t="shared" si="3"/>
        <v>6216.97</v>
      </c>
      <c r="J18" s="23">
        <f t="shared" si="4"/>
        <v>30.28</v>
      </c>
      <c r="K18" s="23">
        <f t="shared" si="5"/>
        <v>34.54</v>
      </c>
      <c r="L18" s="131">
        <f t="shared" si="9"/>
        <v>8800</v>
      </c>
      <c r="M18" s="20"/>
      <c r="N18" s="20"/>
      <c r="O18" s="104"/>
      <c r="P18" s="105"/>
      <c r="Q18" s="105"/>
      <c r="R18" s="106"/>
      <c r="S18" s="106"/>
      <c r="T18" s="20" t="s">
        <v>25</v>
      </c>
      <c r="U18" s="20" t="s">
        <v>25</v>
      </c>
      <c r="V18" s="20" t="s">
        <v>25</v>
      </c>
      <c r="W18" s="20" t="s">
        <v>25</v>
      </c>
    </row>
    <row r="19" spans="1:23" x14ac:dyDescent="0.2">
      <c r="A19" s="130">
        <v>52</v>
      </c>
      <c r="B19" s="72">
        <f>+A19-C19</f>
        <v>0</v>
      </c>
      <c r="C19" s="57">
        <v>52</v>
      </c>
      <c r="D19" s="58" t="s">
        <v>159</v>
      </c>
      <c r="E19" s="24">
        <v>5099.4399999999996</v>
      </c>
      <c r="F19" s="24">
        <f>+VLOOKUP(C19,'[1]Rates Emailed to LEAs 5.27'!$A$10:$H$197,4,FALSE)</f>
        <v>624.19000000000005</v>
      </c>
      <c r="G19" s="24">
        <f>+VLOOKUP(C19,'[1]Rates Emailed to LEAs 5.27'!$A$10:$H$197,8,FALSE)</f>
        <v>661.33</v>
      </c>
      <c r="H19" s="23">
        <f t="shared" si="2"/>
        <v>2359.44</v>
      </c>
      <c r="I19" s="23">
        <f t="shared" si="3"/>
        <v>2499.83</v>
      </c>
      <c r="J19" s="121">
        <f t="shared" ref="J19:J23" si="10">IF(F19="N/A","N/A",ROUND((F19*0.42)/16,2))</f>
        <v>16.38</v>
      </c>
      <c r="K19" s="121">
        <f t="shared" ref="K19:K23" si="11">IF(G19="N/A","N/A",ROUND((G19*0.42)/16,2))</f>
        <v>17.36</v>
      </c>
      <c r="L19" s="24">
        <v>8800</v>
      </c>
      <c r="M19" s="20"/>
      <c r="N19" s="20"/>
      <c r="O19" s="104"/>
      <c r="P19" s="105"/>
      <c r="Q19" s="105"/>
      <c r="R19" s="106"/>
      <c r="S19" s="106">
        <v>139</v>
      </c>
      <c r="T19" s="20" t="s">
        <v>25</v>
      </c>
      <c r="U19" s="20" t="s">
        <v>25</v>
      </c>
      <c r="V19" s="20" t="s">
        <v>25</v>
      </c>
      <c r="W19" s="20" t="s">
        <v>25</v>
      </c>
    </row>
    <row r="20" spans="1:23" x14ac:dyDescent="0.2">
      <c r="A20" s="130">
        <v>55</v>
      </c>
      <c r="B20" s="72">
        <f>+A20-C20</f>
        <v>0</v>
      </c>
      <c r="C20" s="57">
        <v>55</v>
      </c>
      <c r="D20" s="58" t="s">
        <v>158</v>
      </c>
      <c r="E20" s="24">
        <v>5891.85</v>
      </c>
      <c r="F20" s="24">
        <f>+VLOOKUP(C20,'[1]Rates Emailed to LEAs 5.27'!$A$10:$H$197,4,FALSE)</f>
        <v>787.33</v>
      </c>
      <c r="G20" s="24">
        <f>+VLOOKUP(C20,'[1]Rates Emailed to LEAs 5.27'!$A$10:$H$197,8,FALSE)</f>
        <v>776.67</v>
      </c>
      <c r="H20" s="23">
        <f t="shared" si="2"/>
        <v>2976.11</v>
      </c>
      <c r="I20" s="23">
        <f t="shared" si="3"/>
        <v>2935.81</v>
      </c>
      <c r="J20" s="121">
        <f t="shared" si="10"/>
        <v>20.67</v>
      </c>
      <c r="K20" s="121">
        <f t="shared" si="11"/>
        <v>20.39</v>
      </c>
      <c r="L20" s="24">
        <v>8800</v>
      </c>
      <c r="M20" s="20"/>
      <c r="N20" s="20"/>
      <c r="O20" s="104"/>
      <c r="P20" s="105"/>
      <c r="Q20" s="105"/>
      <c r="R20" s="106"/>
      <c r="S20" s="106"/>
      <c r="T20" s="20" t="s">
        <v>25</v>
      </c>
      <c r="U20" s="20" t="s">
        <v>25</v>
      </c>
      <c r="V20" s="20" t="s">
        <v>25</v>
      </c>
      <c r="W20" s="20" t="s">
        <v>25</v>
      </c>
    </row>
    <row r="21" spans="1:23" x14ac:dyDescent="0.2">
      <c r="A21" s="130">
        <v>58</v>
      </c>
      <c r="B21" s="72">
        <f>+A21-C21</f>
        <v>0</v>
      </c>
      <c r="C21" s="57">
        <v>58</v>
      </c>
      <c r="D21" s="60" t="s">
        <v>157</v>
      </c>
      <c r="E21" s="24">
        <v>6453.58</v>
      </c>
      <c r="F21" s="24">
        <f>+VLOOKUP(C21,'[1]Rates Emailed to LEAs 5.27'!$A$10:$H$197,4,FALSE)</f>
        <v>1010.92</v>
      </c>
      <c r="G21" s="24">
        <f>+VLOOKUP(C21,'[1]Rates Emailed to LEAs 5.27'!$A$10:$H$197,8,FALSE)</f>
        <v>1183.68</v>
      </c>
      <c r="H21" s="23">
        <f t="shared" si="2"/>
        <v>3821.28</v>
      </c>
      <c r="I21" s="23">
        <f t="shared" si="3"/>
        <v>4474.3100000000004</v>
      </c>
      <c r="J21" s="121">
        <f t="shared" si="10"/>
        <v>26.54</v>
      </c>
      <c r="K21" s="121">
        <f t="shared" si="11"/>
        <v>31.07</v>
      </c>
      <c r="L21" s="24">
        <v>8800</v>
      </c>
      <c r="M21" s="20"/>
      <c r="N21" s="20"/>
      <c r="O21" s="104"/>
      <c r="P21" s="105"/>
      <c r="Q21" s="105"/>
      <c r="R21" s="106">
        <v>187</v>
      </c>
      <c r="S21" s="106"/>
      <c r="T21" s="20" t="s">
        <v>25</v>
      </c>
      <c r="U21" s="20" t="s">
        <v>25</v>
      </c>
      <c r="V21" s="20" t="s">
        <v>25</v>
      </c>
      <c r="W21" s="20" t="s">
        <v>25</v>
      </c>
    </row>
    <row r="22" spans="1:23" x14ac:dyDescent="0.2">
      <c r="A22" s="130">
        <v>59</v>
      </c>
      <c r="B22" s="72">
        <f>+A22-C22</f>
        <v>0</v>
      </c>
      <c r="C22" s="57">
        <v>59</v>
      </c>
      <c r="D22" s="60" t="s">
        <v>156</v>
      </c>
      <c r="E22" s="24">
        <v>5805.09</v>
      </c>
      <c r="F22" s="24">
        <f>+VLOOKUP(C22,'[1]Rates Emailed to LEAs 5.27'!$A$10:$H$197,4,FALSE)</f>
        <v>672.66</v>
      </c>
      <c r="G22" s="24">
        <f>+VLOOKUP(C22,'[1]Rates Emailed to LEAs 5.27'!$A$10:$H$197,8,FALSE)</f>
        <v>747.05</v>
      </c>
      <c r="H22" s="23">
        <f t="shared" si="2"/>
        <v>2542.65</v>
      </c>
      <c r="I22" s="23">
        <f t="shared" si="3"/>
        <v>2823.85</v>
      </c>
      <c r="J22" s="121">
        <f t="shared" si="10"/>
        <v>17.66</v>
      </c>
      <c r="K22" s="121">
        <f t="shared" si="11"/>
        <v>19.61</v>
      </c>
      <c r="L22" s="24">
        <v>8800</v>
      </c>
      <c r="M22" s="20"/>
      <c r="N22" s="20"/>
      <c r="O22" s="104"/>
      <c r="P22" s="105"/>
      <c r="Q22" s="105"/>
      <c r="R22" s="106"/>
      <c r="S22" s="106"/>
      <c r="T22" s="20" t="s">
        <v>25</v>
      </c>
      <c r="U22" s="20" t="s">
        <v>25</v>
      </c>
      <c r="V22" s="20" t="s">
        <v>25</v>
      </c>
      <c r="W22" s="20" t="s">
        <v>25</v>
      </c>
    </row>
    <row r="23" spans="1:23" x14ac:dyDescent="0.2">
      <c r="A23" s="130">
        <v>60</v>
      </c>
      <c r="B23" s="72">
        <f>+A23-C23</f>
        <v>0</v>
      </c>
      <c r="C23" s="57">
        <v>60</v>
      </c>
      <c r="D23" s="60" t="s">
        <v>155</v>
      </c>
      <c r="E23" s="24">
        <v>5495.46</v>
      </c>
      <c r="F23" s="24">
        <f>+VLOOKUP(C23,'[1]Rates Emailed to LEAs 5.27'!$A$10:$H$197,4,FALSE)</f>
        <v>696.26</v>
      </c>
      <c r="G23" s="24">
        <f>+VLOOKUP(C23,'[1]Rates Emailed to LEAs 5.27'!$A$10:$H$197,8,FALSE)</f>
        <v>783.15</v>
      </c>
      <c r="H23" s="23">
        <f t="shared" si="2"/>
        <v>2631.86</v>
      </c>
      <c r="I23" s="23">
        <f t="shared" si="3"/>
        <v>2960.31</v>
      </c>
      <c r="J23" s="121">
        <f t="shared" si="10"/>
        <v>18.28</v>
      </c>
      <c r="K23" s="121">
        <f t="shared" si="11"/>
        <v>20.56</v>
      </c>
      <c r="L23" s="24">
        <v>8800</v>
      </c>
      <c r="M23" s="20"/>
      <c r="N23" s="20"/>
      <c r="O23" s="104"/>
      <c r="P23" s="105"/>
      <c r="Q23" s="105"/>
      <c r="R23" s="106"/>
      <c r="S23" s="106">
        <v>60</v>
      </c>
      <c r="T23" s="20" t="s">
        <v>25</v>
      </c>
      <c r="U23" s="20" t="s">
        <v>25</v>
      </c>
      <c r="V23" s="20" t="s">
        <v>25</v>
      </c>
      <c r="W23" s="20" t="s">
        <v>25</v>
      </c>
    </row>
    <row r="24" spans="1:23" x14ac:dyDescent="0.2">
      <c r="A24" s="130">
        <v>61</v>
      </c>
      <c r="B24" s="72">
        <f>+A24-C24</f>
        <v>0</v>
      </c>
      <c r="C24" s="57">
        <v>61</v>
      </c>
      <c r="D24" s="60" t="s">
        <v>154</v>
      </c>
      <c r="E24" s="24">
        <v>5900.49</v>
      </c>
      <c r="F24" s="24">
        <f>+VLOOKUP(C24,'[1]Rates Emailed to LEAs 5.27'!$A$10:$H$197,4,FALSE)</f>
        <v>1945.39</v>
      </c>
      <c r="G24" s="24">
        <f>+VLOOKUP(C24,'[1]Rates Emailed to LEAs 5.27'!$A$10:$H$197,8,FALSE)</f>
        <v>1960.77</v>
      </c>
      <c r="H24" s="23">
        <f t="shared" si="2"/>
        <v>7353.57</v>
      </c>
      <c r="I24" s="23">
        <f t="shared" si="3"/>
        <v>7411.71</v>
      </c>
      <c r="J24" s="23">
        <f t="shared" si="4"/>
        <v>40.85</v>
      </c>
      <c r="K24" s="23">
        <f t="shared" si="5"/>
        <v>41.18</v>
      </c>
      <c r="L24" s="131">
        <f>$L$8</f>
        <v>8800</v>
      </c>
      <c r="M24" s="20"/>
      <c r="N24" s="20"/>
      <c r="O24" s="104"/>
      <c r="P24" s="105"/>
      <c r="Q24" s="105"/>
      <c r="R24" s="106"/>
      <c r="S24" s="106"/>
      <c r="T24" s="20" t="s">
        <v>25</v>
      </c>
      <c r="U24" s="20" t="s">
        <v>25</v>
      </c>
      <c r="V24" s="20" t="s">
        <v>25</v>
      </c>
      <c r="W24" s="20" t="s">
        <v>25</v>
      </c>
    </row>
    <row r="25" spans="1:23" x14ac:dyDescent="0.2">
      <c r="A25" s="130">
        <v>71</v>
      </c>
      <c r="B25" s="72">
        <f>+A25-C25</f>
        <v>0</v>
      </c>
      <c r="C25" s="57">
        <v>71</v>
      </c>
      <c r="D25" s="58" t="s">
        <v>153</v>
      </c>
      <c r="E25" s="24">
        <v>7793.82</v>
      </c>
      <c r="F25" s="24">
        <f>+VLOOKUP(C25,'[1]Rates Emailed to LEAs 5.27'!$A$10:$H$197,4,FALSE)</f>
        <v>1142.25</v>
      </c>
      <c r="G25" s="24">
        <f>+VLOOKUP(C25,'[1]Rates Emailed to LEAs 5.27'!$A$10:$H$197,8,FALSE)</f>
        <v>1512.61</v>
      </c>
      <c r="H25" s="23">
        <f t="shared" si="2"/>
        <v>4317.71</v>
      </c>
      <c r="I25" s="23">
        <f t="shared" si="3"/>
        <v>5717.67</v>
      </c>
      <c r="J25" s="121">
        <f>IF(F25="N/A","N/A",ROUND((F25*0.42)/16,2))</f>
        <v>29.98</v>
      </c>
      <c r="K25" s="121">
        <f>IF(G25="N/A","N/A",ROUND((G25*0.42)/16,2))</f>
        <v>39.71</v>
      </c>
      <c r="L25" s="24">
        <v>8800</v>
      </c>
      <c r="M25" s="20"/>
      <c r="N25" s="20"/>
      <c r="O25" s="104"/>
      <c r="P25" s="105"/>
      <c r="Q25" s="105"/>
      <c r="R25" s="106"/>
      <c r="S25" s="106"/>
      <c r="T25" s="20" t="s">
        <v>25</v>
      </c>
      <c r="U25" s="20" t="s">
        <v>25</v>
      </c>
      <c r="V25" s="20" t="s">
        <v>25</v>
      </c>
      <c r="W25" s="20" t="s">
        <v>25</v>
      </c>
    </row>
    <row r="26" spans="1:23" x14ac:dyDescent="0.2">
      <c r="A26" s="130">
        <v>72</v>
      </c>
      <c r="B26" s="72">
        <f>+A26-C26</f>
        <v>0</v>
      </c>
      <c r="C26" s="57">
        <v>72</v>
      </c>
      <c r="D26" s="58" t="s">
        <v>152</v>
      </c>
      <c r="E26" s="24">
        <v>7635.22</v>
      </c>
      <c r="F26" s="24">
        <f>+VLOOKUP(C26,'[1]Rates Emailed to LEAs 5.27'!$A$10:$H$197,4,FALSE)</f>
        <v>1009.59</v>
      </c>
      <c r="G26" s="24">
        <f>+VLOOKUP(C26,'[1]Rates Emailed to LEAs 5.27'!$A$10:$H$197,8,FALSE)</f>
        <v>1141.82</v>
      </c>
      <c r="H26" s="23">
        <f t="shared" si="2"/>
        <v>3816.25</v>
      </c>
      <c r="I26" s="23">
        <f t="shared" si="3"/>
        <v>4316.08</v>
      </c>
      <c r="J26" s="23">
        <f t="shared" si="4"/>
        <v>21.2</v>
      </c>
      <c r="K26" s="23">
        <f t="shared" si="5"/>
        <v>23.98</v>
      </c>
      <c r="L26" s="131">
        <f>$L$8</f>
        <v>8800</v>
      </c>
      <c r="M26" s="20"/>
      <c r="N26" s="20"/>
      <c r="O26" s="104"/>
      <c r="P26" s="105"/>
      <c r="Q26" s="105"/>
      <c r="R26" s="106"/>
      <c r="S26" s="106"/>
      <c r="T26" s="20" t="s">
        <v>25</v>
      </c>
      <c r="U26" s="20" t="s">
        <v>25</v>
      </c>
      <c r="V26" s="20" t="s">
        <v>25</v>
      </c>
      <c r="W26" s="20" t="s">
        <v>25</v>
      </c>
    </row>
    <row r="27" spans="1:23" x14ac:dyDescent="0.2">
      <c r="A27" s="130">
        <v>73</v>
      </c>
      <c r="B27" s="72">
        <f>+A27-C27</f>
        <v>0</v>
      </c>
      <c r="C27" s="57">
        <v>73</v>
      </c>
      <c r="D27" s="59" t="s">
        <v>151</v>
      </c>
      <c r="E27" s="24">
        <v>8594.3700000000008</v>
      </c>
      <c r="F27" s="24">
        <f>+VLOOKUP(C27,'[1]Rates Emailed to LEAs 5.27'!$A$10:$H$197,4,FALSE)</f>
        <v>1189.45</v>
      </c>
      <c r="G27" s="24">
        <f>+VLOOKUP(C27,'[1]Rates Emailed to LEAs 5.27'!$A$10:$H$197,8,FALSE)</f>
        <v>1388.82</v>
      </c>
      <c r="H27" s="23">
        <f t="shared" si="2"/>
        <v>4496.12</v>
      </c>
      <c r="I27" s="23">
        <f t="shared" si="3"/>
        <v>5249.74</v>
      </c>
      <c r="J27" s="121">
        <f>IF(F27="N/A","N/A",ROUND((F27*0.42)/16,2))</f>
        <v>31.22</v>
      </c>
      <c r="K27" s="121">
        <f>IF(G27="N/A","N/A",ROUND((G27*0.42)/16,2))</f>
        <v>36.46</v>
      </c>
      <c r="L27" s="24">
        <v>8800</v>
      </c>
      <c r="M27" s="20"/>
      <c r="N27" s="20"/>
      <c r="O27" s="104"/>
      <c r="P27" s="105"/>
      <c r="Q27" s="105"/>
      <c r="R27" s="106"/>
      <c r="S27" s="106"/>
      <c r="T27" s="20" t="s">
        <v>25</v>
      </c>
      <c r="U27" s="20" t="s">
        <v>25</v>
      </c>
      <c r="V27" s="20" t="s">
        <v>25</v>
      </c>
      <c r="W27" s="20" t="s">
        <v>25</v>
      </c>
    </row>
    <row r="28" spans="1:23" x14ac:dyDescent="0.2">
      <c r="A28" s="130">
        <v>83</v>
      </c>
      <c r="B28" s="72">
        <f>+A28-C28</f>
        <v>0</v>
      </c>
      <c r="C28" s="57">
        <v>83</v>
      </c>
      <c r="D28" s="59" t="s">
        <v>150</v>
      </c>
      <c r="E28" s="24">
        <v>5733.98</v>
      </c>
      <c r="F28" s="24">
        <f>+VLOOKUP(C28,'[1]Rates Emailed to LEAs 5.27'!$A$10:$H$197,4,FALSE)</f>
        <v>1008.24</v>
      </c>
      <c r="G28" s="24">
        <f>+VLOOKUP(C28,'[1]Rates Emailed to LEAs 5.27'!$A$10:$H$197,8,FALSE)</f>
        <v>1292.8599999999999</v>
      </c>
      <c r="H28" s="23">
        <f t="shared" si="2"/>
        <v>3811.15</v>
      </c>
      <c r="I28" s="23">
        <f t="shared" si="3"/>
        <v>4887.01</v>
      </c>
      <c r="J28" s="23">
        <f t="shared" si="4"/>
        <v>21.17</v>
      </c>
      <c r="K28" s="23">
        <f t="shared" si="5"/>
        <v>27.15</v>
      </c>
      <c r="L28" s="131">
        <f t="shared" ref="L28:L32" si="12">$L$8</f>
        <v>8800</v>
      </c>
      <c r="M28" s="20"/>
      <c r="N28" s="20"/>
      <c r="O28" s="104"/>
      <c r="P28" s="105"/>
      <c r="Q28" s="105"/>
      <c r="R28" s="106">
        <v>467</v>
      </c>
      <c r="S28" s="106">
        <v>315</v>
      </c>
      <c r="T28" s="20" t="s">
        <v>25</v>
      </c>
      <c r="U28" s="20" t="s">
        <v>25</v>
      </c>
      <c r="V28" s="20" t="s">
        <v>25</v>
      </c>
      <c r="W28" s="20" t="s">
        <v>25</v>
      </c>
    </row>
    <row r="29" spans="1:23" x14ac:dyDescent="0.2">
      <c r="A29" s="130">
        <v>84</v>
      </c>
      <c r="B29" s="72">
        <f>+A29-C29</f>
        <v>0</v>
      </c>
      <c r="C29" s="57">
        <v>84</v>
      </c>
      <c r="D29" s="59" t="s">
        <v>149</v>
      </c>
      <c r="E29" s="24">
        <v>5939.8</v>
      </c>
      <c r="F29" s="24">
        <f>+VLOOKUP(C29,'[1]Rates Emailed to LEAs 5.27'!$A$10:$H$197,4,FALSE)</f>
        <v>1011.3</v>
      </c>
      <c r="G29" s="24">
        <f>+VLOOKUP(C29,'[1]Rates Emailed to LEAs 5.27'!$A$10:$H$197,8,FALSE)</f>
        <v>1120.25</v>
      </c>
      <c r="H29" s="23">
        <f t="shared" si="2"/>
        <v>3822.71</v>
      </c>
      <c r="I29" s="23">
        <f t="shared" si="3"/>
        <v>4234.55</v>
      </c>
      <c r="J29" s="23">
        <f t="shared" si="4"/>
        <v>21.24</v>
      </c>
      <c r="K29" s="23">
        <f t="shared" si="5"/>
        <v>23.53</v>
      </c>
      <c r="L29" s="131">
        <f t="shared" si="12"/>
        <v>8800</v>
      </c>
      <c r="M29" s="20"/>
      <c r="N29" s="20"/>
      <c r="O29" s="104"/>
      <c r="P29" s="105"/>
      <c r="Q29" s="105"/>
      <c r="R29" s="106">
        <v>2060</v>
      </c>
      <c r="S29" s="106">
        <v>649</v>
      </c>
      <c r="T29" s="107">
        <v>0</v>
      </c>
      <c r="U29" s="107">
        <v>657.8</v>
      </c>
      <c r="V29" s="107">
        <v>0</v>
      </c>
      <c r="W29" s="107">
        <v>13.4</v>
      </c>
    </row>
    <row r="30" spans="1:23" x14ac:dyDescent="0.2">
      <c r="A30" s="130">
        <v>91</v>
      </c>
      <c r="B30" s="72">
        <f>+A30-C30</f>
        <v>0</v>
      </c>
      <c r="C30" s="57">
        <v>91</v>
      </c>
      <c r="D30" s="59" t="s">
        <v>148</v>
      </c>
      <c r="E30" s="24">
        <v>5625.52</v>
      </c>
      <c r="F30" s="24">
        <f>+VLOOKUP(C30,'[1]Rates Emailed to LEAs 5.27'!$A$10:$H$197,4,FALSE)</f>
        <v>764.63</v>
      </c>
      <c r="G30" s="24">
        <f>+VLOOKUP(C30,'[1]Rates Emailed to LEAs 5.27'!$A$10:$H$197,8,FALSE)</f>
        <v>791.89</v>
      </c>
      <c r="H30" s="23">
        <f t="shared" si="2"/>
        <v>2890.3</v>
      </c>
      <c r="I30" s="23">
        <f t="shared" si="3"/>
        <v>2993.34</v>
      </c>
      <c r="J30" s="23">
        <f t="shared" si="4"/>
        <v>16.059999999999999</v>
      </c>
      <c r="K30" s="23">
        <f t="shared" si="5"/>
        <v>16.63</v>
      </c>
      <c r="L30" s="131">
        <f t="shared" si="12"/>
        <v>8800</v>
      </c>
      <c r="M30" s="20"/>
      <c r="N30" s="20"/>
      <c r="O30" s="104"/>
      <c r="P30" s="105"/>
      <c r="Q30" s="105"/>
      <c r="R30" s="106">
        <v>1699</v>
      </c>
      <c r="S30" s="106">
        <v>1999.4</v>
      </c>
      <c r="T30" s="107">
        <v>17</v>
      </c>
      <c r="U30" s="107">
        <v>1740.46</v>
      </c>
      <c r="V30" s="107">
        <v>0</v>
      </c>
      <c r="W30" s="107">
        <v>115.3</v>
      </c>
    </row>
    <row r="31" spans="1:23" x14ac:dyDescent="0.2">
      <c r="A31" s="130">
        <v>92</v>
      </c>
      <c r="B31" s="72">
        <f>+A31-C31</f>
        <v>0</v>
      </c>
      <c r="C31" s="57">
        <v>92</v>
      </c>
      <c r="D31" s="59" t="s">
        <v>147</v>
      </c>
      <c r="E31" s="24">
        <v>11541.09</v>
      </c>
      <c r="F31" s="24">
        <f>+VLOOKUP(C31,'[1]Rates Emailed to LEAs 5.27'!$A$10:$H$197,4,FALSE)</f>
        <v>1468.57</v>
      </c>
      <c r="G31" s="24">
        <f>+VLOOKUP(C31,'[1]Rates Emailed to LEAs 5.27'!$A$10:$H$197,8,FALSE)</f>
        <v>1468.57</v>
      </c>
      <c r="H31" s="23">
        <f t="shared" si="2"/>
        <v>5551.19</v>
      </c>
      <c r="I31" s="23">
        <f t="shared" si="3"/>
        <v>5551.19</v>
      </c>
      <c r="J31" s="23">
        <f t="shared" si="4"/>
        <v>30.84</v>
      </c>
      <c r="K31" s="23">
        <f t="shared" si="5"/>
        <v>30.84</v>
      </c>
      <c r="L31" s="131">
        <f t="shared" si="12"/>
        <v>8800</v>
      </c>
      <c r="M31" s="20"/>
      <c r="N31" s="20"/>
      <c r="O31" s="104"/>
      <c r="P31" s="105"/>
      <c r="Q31" s="105"/>
      <c r="R31" s="106"/>
      <c r="S31" s="106"/>
      <c r="T31" s="20" t="s">
        <v>25</v>
      </c>
      <c r="U31" s="20" t="s">
        <v>25</v>
      </c>
      <c r="V31" s="20" t="s">
        <v>25</v>
      </c>
      <c r="W31" s="20" t="s">
        <v>25</v>
      </c>
    </row>
    <row r="32" spans="1:23" x14ac:dyDescent="0.2">
      <c r="A32" s="130">
        <v>93</v>
      </c>
      <c r="B32" s="72">
        <f>+A32-C32</f>
        <v>0</v>
      </c>
      <c r="C32" s="57">
        <v>93</v>
      </c>
      <c r="D32" s="59" t="s">
        <v>146</v>
      </c>
      <c r="E32" s="24">
        <v>5539.79</v>
      </c>
      <c r="F32" s="24">
        <f>+VLOOKUP(C32,'[1]Rates Emailed to LEAs 5.27'!$A$10:$H$197,4,FALSE)</f>
        <v>725.63</v>
      </c>
      <c r="G32" s="24">
        <f>+VLOOKUP(C32,'[1]Rates Emailed to LEAs 5.27'!$A$10:$H$197,8,FALSE)</f>
        <v>803.39</v>
      </c>
      <c r="H32" s="23">
        <f t="shared" si="2"/>
        <v>2742.88</v>
      </c>
      <c r="I32" s="23">
        <f t="shared" si="3"/>
        <v>3036.81</v>
      </c>
      <c r="J32" s="23">
        <f t="shared" si="4"/>
        <v>15.24</v>
      </c>
      <c r="K32" s="23">
        <f t="shared" si="5"/>
        <v>16.87</v>
      </c>
      <c r="L32" s="131">
        <f t="shared" si="12"/>
        <v>8800</v>
      </c>
      <c r="M32" s="20"/>
      <c r="N32" s="20"/>
      <c r="O32" s="104"/>
      <c r="P32" s="105"/>
      <c r="Q32" s="105"/>
      <c r="R32" s="106">
        <v>1700</v>
      </c>
      <c r="S32" s="106">
        <v>1625</v>
      </c>
      <c r="T32" s="20" t="s">
        <v>25</v>
      </c>
      <c r="U32" s="20" t="s">
        <v>25</v>
      </c>
      <c r="V32" s="20" t="s">
        <v>25</v>
      </c>
      <c r="W32" s="20" t="s">
        <v>25</v>
      </c>
    </row>
    <row r="33" spans="1:23" x14ac:dyDescent="0.2">
      <c r="A33" s="130">
        <v>101</v>
      </c>
      <c r="B33" s="72">
        <f>+A33-C33</f>
        <v>0</v>
      </c>
      <c r="C33" s="57">
        <v>101</v>
      </c>
      <c r="D33" s="58" t="s">
        <v>145</v>
      </c>
      <c r="E33" s="24">
        <v>6061.93</v>
      </c>
      <c r="F33" s="24">
        <f>+VLOOKUP(C33,'[1]Rates Emailed to LEAs 5.27'!$A$10:$H$197,4,FALSE)</f>
        <v>828.61</v>
      </c>
      <c r="G33" s="24">
        <f>+VLOOKUP(C33,'[1]Rates Emailed to LEAs 5.27'!$A$10:$H$197,8,FALSE)</f>
        <v>979.87</v>
      </c>
      <c r="H33" s="23">
        <f t="shared" si="2"/>
        <v>3132.15</v>
      </c>
      <c r="I33" s="23">
        <f t="shared" si="3"/>
        <v>3703.91</v>
      </c>
      <c r="J33" s="121">
        <f t="shared" ref="J33:J34" si="13">IF(F33="N/A","N/A",ROUND((F33*0.42)/16,2))</f>
        <v>21.75</v>
      </c>
      <c r="K33" s="121">
        <f t="shared" ref="K33:K34" si="14">IF(G33="N/A","N/A",ROUND((G33*0.42)/16,2))</f>
        <v>25.72</v>
      </c>
      <c r="L33" s="24">
        <v>8800</v>
      </c>
      <c r="M33" s="20"/>
      <c r="N33" s="20"/>
      <c r="O33" s="104"/>
      <c r="P33" s="105"/>
      <c r="Q33" s="105"/>
      <c r="R33" s="106">
        <v>741</v>
      </c>
      <c r="S33" s="106">
        <v>504</v>
      </c>
      <c r="T33" s="20" t="s">
        <v>25</v>
      </c>
      <c r="U33" s="20" t="s">
        <v>25</v>
      </c>
      <c r="V33" s="20" t="s">
        <v>25</v>
      </c>
      <c r="W33" s="20" t="s">
        <v>25</v>
      </c>
    </row>
    <row r="34" spans="1:23" x14ac:dyDescent="0.2">
      <c r="A34" s="130">
        <v>111</v>
      </c>
      <c r="B34" s="72">
        <f>+A34-C34</f>
        <v>0</v>
      </c>
      <c r="C34" s="57">
        <v>111</v>
      </c>
      <c r="D34" s="58" t="s">
        <v>144</v>
      </c>
      <c r="E34" s="24">
        <v>7706.96</v>
      </c>
      <c r="F34" s="24">
        <f>+VLOOKUP(C34,'[1]Rates Emailed to LEAs 5.27'!$A$10:$H$197,4,FALSE)</f>
        <v>1002.02</v>
      </c>
      <c r="G34" s="24">
        <f>+VLOOKUP(C34,'[1]Rates Emailed to LEAs 5.27'!$A$10:$H$197,8,FALSE)</f>
        <v>1082.81</v>
      </c>
      <c r="H34" s="23">
        <f t="shared" si="2"/>
        <v>3787.64</v>
      </c>
      <c r="I34" s="23">
        <f t="shared" si="3"/>
        <v>4093.02</v>
      </c>
      <c r="J34" s="121">
        <f t="shared" si="13"/>
        <v>26.3</v>
      </c>
      <c r="K34" s="121">
        <f t="shared" si="14"/>
        <v>28.42</v>
      </c>
      <c r="L34" s="24">
        <v>8800</v>
      </c>
      <c r="M34" s="20"/>
      <c r="N34" s="20"/>
      <c r="O34" s="104"/>
      <c r="P34" s="105"/>
      <c r="Q34" s="105"/>
      <c r="R34" s="106"/>
      <c r="S34" s="106"/>
      <c r="T34" s="20" t="s">
        <v>25</v>
      </c>
      <c r="U34" s="20" t="s">
        <v>25</v>
      </c>
      <c r="V34" s="20" t="s">
        <v>25</v>
      </c>
      <c r="W34" s="20" t="s">
        <v>25</v>
      </c>
    </row>
    <row r="35" spans="1:23" x14ac:dyDescent="0.2">
      <c r="A35" s="130">
        <v>121</v>
      </c>
      <c r="B35" s="72">
        <f>+A35-C35</f>
        <v>0</v>
      </c>
      <c r="C35" s="57">
        <v>121</v>
      </c>
      <c r="D35" s="59" t="s">
        <v>143</v>
      </c>
      <c r="E35" s="24">
        <v>9357</v>
      </c>
      <c r="F35" s="24">
        <f>+VLOOKUP(C35,'[1]Rates Emailed to LEAs 5.27'!$A$10:$H$197,4,FALSE)</f>
        <v>1536.53</v>
      </c>
      <c r="G35" s="24">
        <f>+VLOOKUP(C35,'[1]Rates Emailed to LEAs 5.27'!$A$10:$H$197,8,FALSE)</f>
        <v>1250.3499999999999</v>
      </c>
      <c r="H35" s="23">
        <f t="shared" si="2"/>
        <v>5808.08</v>
      </c>
      <c r="I35" s="23">
        <f t="shared" si="3"/>
        <v>4726.32</v>
      </c>
      <c r="J35" s="23">
        <f t="shared" si="4"/>
        <v>32.270000000000003</v>
      </c>
      <c r="K35" s="23">
        <f t="shared" si="5"/>
        <v>26.26</v>
      </c>
      <c r="L35" s="131">
        <f t="shared" ref="L35:L38" si="15">$L$8</f>
        <v>8800</v>
      </c>
      <c r="M35" s="20"/>
      <c r="N35" s="20"/>
      <c r="O35" s="104"/>
      <c r="P35" s="105"/>
      <c r="Q35" s="105"/>
      <c r="R35" s="106"/>
      <c r="S35" s="106"/>
      <c r="T35" s="20" t="s">
        <v>25</v>
      </c>
      <c r="U35" s="20" t="s">
        <v>25</v>
      </c>
      <c r="V35" s="20" t="s">
        <v>25</v>
      </c>
      <c r="W35" s="20" t="s">
        <v>25</v>
      </c>
    </row>
    <row r="36" spans="1:23" x14ac:dyDescent="0.2">
      <c r="A36" s="130">
        <v>131</v>
      </c>
      <c r="B36" s="72">
        <f>+A36-C36</f>
        <v>0</v>
      </c>
      <c r="C36" s="57">
        <v>131</v>
      </c>
      <c r="D36" s="60" t="s">
        <v>142</v>
      </c>
      <c r="E36" s="24">
        <v>5624.02</v>
      </c>
      <c r="F36" s="24">
        <f>+VLOOKUP(C36,'[1]Rates Emailed to LEAs 5.27'!$A$10:$H$197,4,FALSE)</f>
        <v>808.17</v>
      </c>
      <c r="G36" s="24">
        <f>+VLOOKUP(C36,'[1]Rates Emailed to LEAs 5.27'!$A$10:$H$197,8,FALSE)</f>
        <v>899.18</v>
      </c>
      <c r="H36" s="23">
        <f t="shared" si="2"/>
        <v>3054.88</v>
      </c>
      <c r="I36" s="23">
        <f t="shared" si="3"/>
        <v>3398.9</v>
      </c>
      <c r="J36" s="23">
        <f t="shared" si="4"/>
        <v>16.97</v>
      </c>
      <c r="K36" s="23">
        <f t="shared" si="5"/>
        <v>18.88</v>
      </c>
      <c r="L36" s="131">
        <f t="shared" si="15"/>
        <v>8800</v>
      </c>
      <c r="M36" s="20"/>
      <c r="N36" s="20"/>
      <c r="O36" s="104"/>
      <c r="P36" s="105"/>
      <c r="Q36" s="105"/>
      <c r="R36" s="106">
        <v>4977</v>
      </c>
      <c r="S36" s="106">
        <v>4450.75</v>
      </c>
      <c r="T36" s="20" t="s">
        <v>25</v>
      </c>
      <c r="U36" s="20" t="s">
        <v>25</v>
      </c>
      <c r="V36" s="20" t="s">
        <v>25</v>
      </c>
      <c r="W36" s="20" t="s">
        <v>25</v>
      </c>
    </row>
    <row r="37" spans="1:23" x14ac:dyDescent="0.2">
      <c r="A37" s="130">
        <v>132</v>
      </c>
      <c r="B37" s="72">
        <f>+A37-C37</f>
        <v>0</v>
      </c>
      <c r="C37" s="57">
        <v>132</v>
      </c>
      <c r="D37" s="59" t="s">
        <v>140</v>
      </c>
      <c r="E37" s="24">
        <v>5619.92</v>
      </c>
      <c r="F37" s="24">
        <f>+VLOOKUP(C37,'[1]Rates Emailed to LEAs 5.27'!$A$10:$H$197,4,FALSE)</f>
        <v>794.49</v>
      </c>
      <c r="G37" s="24">
        <f>+VLOOKUP(C37,'[1]Rates Emailed to LEAs 5.27'!$A$10:$H$197,8,FALSE)</f>
        <v>860.25</v>
      </c>
      <c r="H37" s="23">
        <f t="shared" si="2"/>
        <v>3003.17</v>
      </c>
      <c r="I37" s="23">
        <f t="shared" si="3"/>
        <v>3251.75</v>
      </c>
      <c r="J37" s="23">
        <f t="shared" si="4"/>
        <v>16.68</v>
      </c>
      <c r="K37" s="23">
        <f t="shared" si="5"/>
        <v>18.07</v>
      </c>
      <c r="L37" s="131">
        <f t="shared" si="15"/>
        <v>8800</v>
      </c>
      <c r="M37" s="20"/>
      <c r="N37" s="20"/>
      <c r="O37" s="104"/>
      <c r="P37" s="105"/>
      <c r="Q37" s="105"/>
      <c r="R37" s="106">
        <v>3369.5</v>
      </c>
      <c r="S37" s="106">
        <v>1087</v>
      </c>
      <c r="T37" s="107">
        <v>0</v>
      </c>
      <c r="U37" s="107">
        <v>4277.21</v>
      </c>
      <c r="V37" s="107">
        <v>0.4</v>
      </c>
      <c r="W37" s="107">
        <v>587.4</v>
      </c>
    </row>
    <row r="38" spans="1:23" x14ac:dyDescent="0.2">
      <c r="A38" s="130">
        <v>133</v>
      </c>
      <c r="B38" s="72">
        <f>+A38-C38</f>
        <v>0</v>
      </c>
      <c r="C38" s="57">
        <v>133</v>
      </c>
      <c r="D38" s="59" t="s">
        <v>139</v>
      </c>
      <c r="E38" s="24">
        <v>6733.39</v>
      </c>
      <c r="F38" s="24">
        <f>+VLOOKUP(C38,'[1]Rates Emailed to LEAs 5.27'!$A$10:$H$197,4,FALSE)</f>
        <v>978.98</v>
      </c>
      <c r="G38" s="24">
        <f>+VLOOKUP(C38,'[1]Rates Emailed to LEAs 5.27'!$A$10:$H$197,8,FALSE)</f>
        <v>1142.33</v>
      </c>
      <c r="H38" s="23">
        <f t="shared" si="2"/>
        <v>3700.54</v>
      </c>
      <c r="I38" s="23">
        <f t="shared" si="3"/>
        <v>4318.01</v>
      </c>
      <c r="J38" s="23">
        <f t="shared" si="4"/>
        <v>20.56</v>
      </c>
      <c r="K38" s="23">
        <f t="shared" si="5"/>
        <v>23.99</v>
      </c>
      <c r="L38" s="131">
        <f t="shared" si="15"/>
        <v>8800</v>
      </c>
      <c r="M38" s="20"/>
      <c r="N38" s="20"/>
      <c r="O38" s="104"/>
      <c r="P38" s="105"/>
      <c r="Q38" s="105"/>
      <c r="R38" s="106"/>
      <c r="S38" s="106"/>
      <c r="T38" s="20" t="s">
        <v>25</v>
      </c>
      <c r="U38" s="20" t="s">
        <v>25</v>
      </c>
      <c r="V38" s="20" t="s">
        <v>25</v>
      </c>
      <c r="W38" s="20" t="s">
        <v>25</v>
      </c>
    </row>
    <row r="39" spans="1:23" x14ac:dyDescent="0.2">
      <c r="A39" s="130">
        <v>134</v>
      </c>
      <c r="B39" s="72">
        <f>+A39-C39</f>
        <v>0</v>
      </c>
      <c r="C39" s="57">
        <v>134</v>
      </c>
      <c r="D39" s="59" t="s">
        <v>138</v>
      </c>
      <c r="E39" s="24">
        <v>5487.79</v>
      </c>
      <c r="F39" s="24">
        <f>+VLOOKUP(C39,'[1]Rates Emailed to LEAs 5.27'!$A$10:$H$197,4,FALSE)</f>
        <v>693.06</v>
      </c>
      <c r="G39" s="24">
        <f>+VLOOKUP(C39,'[1]Rates Emailed to LEAs 5.27'!$A$10:$H$197,8,FALSE)</f>
        <v>761.14</v>
      </c>
      <c r="H39" s="23">
        <f t="shared" si="2"/>
        <v>2619.77</v>
      </c>
      <c r="I39" s="23">
        <f t="shared" si="3"/>
        <v>2877.11</v>
      </c>
      <c r="J39" s="121">
        <f t="shared" ref="J39:J42" si="16">IF(F39="N/A","N/A",ROUND((F39*0.42)/16,2))</f>
        <v>18.190000000000001</v>
      </c>
      <c r="K39" s="121">
        <f t="shared" ref="K39:K42" si="17">IF(G39="N/A","N/A",ROUND((G39*0.42)/16,2))</f>
        <v>19.98</v>
      </c>
      <c r="L39" s="24">
        <v>8800</v>
      </c>
      <c r="M39" s="20"/>
      <c r="N39" s="20"/>
      <c r="O39" s="104"/>
      <c r="P39" s="105"/>
      <c r="Q39" s="105"/>
      <c r="R39" s="106">
        <v>512.5</v>
      </c>
      <c r="S39" s="106"/>
      <c r="T39" s="20" t="s">
        <v>25</v>
      </c>
      <c r="U39" s="20" t="s">
        <v>25</v>
      </c>
      <c r="V39" s="20" t="s">
        <v>25</v>
      </c>
      <c r="W39" s="20" t="s">
        <v>25</v>
      </c>
    </row>
    <row r="40" spans="1:23" x14ac:dyDescent="0.2">
      <c r="A40" s="130">
        <v>135</v>
      </c>
      <c r="B40" s="72">
        <f>+A40-C40</f>
        <v>0</v>
      </c>
      <c r="C40" s="57">
        <v>135</v>
      </c>
      <c r="D40" s="59" t="s">
        <v>137</v>
      </c>
      <c r="E40" s="24">
        <v>8368.4599999999991</v>
      </c>
      <c r="F40" s="24">
        <f>+VLOOKUP(C40,'[1]Rates Emailed to LEAs 5.27'!$A$10:$H$197,4,FALSE)</f>
        <v>1037.48</v>
      </c>
      <c r="G40" s="24">
        <f>+VLOOKUP(C40,'[1]Rates Emailed to LEAs 5.27'!$A$10:$H$197,8,FALSE)</f>
        <v>1416.28</v>
      </c>
      <c r="H40" s="23">
        <f t="shared" si="2"/>
        <v>3921.67</v>
      </c>
      <c r="I40" s="23">
        <f t="shared" si="3"/>
        <v>5353.54</v>
      </c>
      <c r="J40" s="121">
        <f t="shared" si="16"/>
        <v>27.23</v>
      </c>
      <c r="K40" s="121">
        <f t="shared" si="17"/>
        <v>37.18</v>
      </c>
      <c r="L40" s="24">
        <v>8800</v>
      </c>
      <c r="M40" s="20"/>
      <c r="N40" s="20"/>
      <c r="O40" s="104"/>
      <c r="P40" s="105"/>
      <c r="Q40" s="105"/>
      <c r="R40" s="106"/>
      <c r="S40" s="106"/>
      <c r="T40" s="20" t="s">
        <v>25</v>
      </c>
      <c r="U40" s="20" t="s">
        <v>25</v>
      </c>
      <c r="V40" s="20" t="s">
        <v>25</v>
      </c>
      <c r="W40" s="20" t="s">
        <v>25</v>
      </c>
    </row>
    <row r="41" spans="1:23" x14ac:dyDescent="0.2">
      <c r="A41" s="130">
        <v>136</v>
      </c>
      <c r="B41" s="72">
        <f>+A41-C41</f>
        <v>0</v>
      </c>
      <c r="C41" s="57">
        <v>136</v>
      </c>
      <c r="D41" s="59" t="s">
        <v>136</v>
      </c>
      <c r="E41" s="24">
        <v>6236.46</v>
      </c>
      <c r="F41" s="24">
        <f>+VLOOKUP(C41,'[1]Rates Emailed to LEAs 5.27'!$A$10:$H$197,4,FALSE)</f>
        <v>737.59</v>
      </c>
      <c r="G41" s="24">
        <f>+VLOOKUP(C41,'[1]Rates Emailed to LEAs 5.27'!$A$10:$H$197,8,FALSE)</f>
        <v>838.21</v>
      </c>
      <c r="H41" s="23">
        <f t="shared" si="2"/>
        <v>2788.09</v>
      </c>
      <c r="I41" s="23">
        <f t="shared" si="3"/>
        <v>3168.43</v>
      </c>
      <c r="J41" s="121">
        <f t="shared" si="16"/>
        <v>19.36</v>
      </c>
      <c r="K41" s="121">
        <f t="shared" si="17"/>
        <v>22</v>
      </c>
      <c r="L41" s="24">
        <v>8800</v>
      </c>
      <c r="M41" s="20"/>
      <c r="N41" s="20"/>
      <c r="O41" s="104"/>
      <c r="P41" s="105"/>
      <c r="Q41" s="105"/>
      <c r="R41" s="106">
        <v>540</v>
      </c>
      <c r="S41" s="106"/>
      <c r="T41" s="20" t="s">
        <v>25</v>
      </c>
      <c r="U41" s="20" t="s">
        <v>25</v>
      </c>
      <c r="V41" s="20" t="s">
        <v>25</v>
      </c>
      <c r="W41" s="20" t="s">
        <v>25</v>
      </c>
    </row>
    <row r="42" spans="1:23" x14ac:dyDescent="0.2">
      <c r="A42" s="130">
        <v>137</v>
      </c>
      <c r="B42" s="72">
        <f>+A42-C42</f>
        <v>0</v>
      </c>
      <c r="C42" s="57">
        <v>137</v>
      </c>
      <c r="D42" s="59" t="s">
        <v>135</v>
      </c>
      <c r="E42" s="24">
        <v>6008.27</v>
      </c>
      <c r="F42" s="24">
        <f>+VLOOKUP(C42,'[1]Rates Emailed to LEAs 5.27'!$A$10:$H$197,4,FALSE)</f>
        <v>701.53</v>
      </c>
      <c r="G42" s="24">
        <f>+VLOOKUP(C42,'[1]Rates Emailed to LEAs 5.27'!$A$10:$H$197,8,FALSE)</f>
        <v>1079.17</v>
      </c>
      <c r="H42" s="23">
        <f t="shared" si="2"/>
        <v>2651.78</v>
      </c>
      <c r="I42" s="23">
        <f t="shared" si="3"/>
        <v>4079.26</v>
      </c>
      <c r="J42" s="121">
        <f t="shared" si="16"/>
        <v>18.420000000000002</v>
      </c>
      <c r="K42" s="121">
        <f t="shared" si="17"/>
        <v>28.33</v>
      </c>
      <c r="L42" s="24">
        <v>8800</v>
      </c>
      <c r="M42" s="20"/>
      <c r="N42" s="20"/>
      <c r="O42" s="104"/>
      <c r="P42" s="105"/>
      <c r="Q42" s="105"/>
      <c r="R42" s="106">
        <v>50</v>
      </c>
      <c r="S42" s="106">
        <v>290.5</v>
      </c>
      <c r="T42" s="20" t="s">
        <v>25</v>
      </c>
      <c r="U42" s="20" t="s">
        <v>25</v>
      </c>
      <c r="V42" s="20" t="s">
        <v>25</v>
      </c>
      <c r="W42" s="20" t="s">
        <v>25</v>
      </c>
    </row>
    <row r="43" spans="1:23" x14ac:dyDescent="0.2">
      <c r="A43" s="130">
        <v>139</v>
      </c>
      <c r="B43" s="72">
        <f>+A43-C43</f>
        <v>0</v>
      </c>
      <c r="C43" s="57">
        <v>139</v>
      </c>
      <c r="D43" s="59" t="s">
        <v>134</v>
      </c>
      <c r="E43" s="24">
        <v>5664.6</v>
      </c>
      <c r="F43" s="24">
        <f>+VLOOKUP(C43,'[1]Rates Emailed to LEAs 5.27'!$A$10:$H$197,4,FALSE)</f>
        <v>838</v>
      </c>
      <c r="G43" s="24">
        <f>+VLOOKUP(C43,'[1]Rates Emailed to LEAs 5.27'!$A$10:$H$197,8,FALSE)</f>
        <v>974.96</v>
      </c>
      <c r="H43" s="23">
        <f t="shared" si="2"/>
        <v>3167.64</v>
      </c>
      <c r="I43" s="23">
        <f t="shared" si="3"/>
        <v>3685.35</v>
      </c>
      <c r="J43" s="23">
        <f t="shared" si="4"/>
        <v>17.600000000000001</v>
      </c>
      <c r="K43" s="23">
        <f t="shared" si="5"/>
        <v>20.47</v>
      </c>
      <c r="L43" s="131">
        <f>$L$8</f>
        <v>8800</v>
      </c>
      <c r="M43" s="20"/>
      <c r="N43" s="20"/>
      <c r="O43" s="104"/>
      <c r="P43" s="105"/>
      <c r="Q43" s="105"/>
      <c r="R43" s="106">
        <v>1603.8099999999997</v>
      </c>
      <c r="S43" s="106">
        <v>1066.93</v>
      </c>
      <c r="T43" s="20" t="s">
        <v>25</v>
      </c>
      <c r="U43" s="20" t="s">
        <v>25</v>
      </c>
      <c r="V43" s="20" t="s">
        <v>25</v>
      </c>
      <c r="W43" s="20" t="s">
        <v>25</v>
      </c>
    </row>
    <row r="44" spans="1:23" x14ac:dyDescent="0.2">
      <c r="A44" s="130">
        <v>148</v>
      </c>
      <c r="B44" s="72">
        <f>+A44-C44</f>
        <v>0</v>
      </c>
      <c r="C44" s="57">
        <v>148</v>
      </c>
      <c r="D44" s="59" t="s">
        <v>133</v>
      </c>
      <c r="E44" s="24">
        <v>7077.12</v>
      </c>
      <c r="F44" s="24">
        <f>+VLOOKUP(C44,'[1]Rates Emailed to LEAs 5.27'!$A$10:$H$197,4,FALSE)</f>
        <v>878.56</v>
      </c>
      <c r="G44" s="24">
        <f>+VLOOKUP(C44,'[1]Rates Emailed to LEAs 5.27'!$A$10:$H$197,8,FALSE)</f>
        <v>1017.62</v>
      </c>
      <c r="H44" s="23">
        <f t="shared" si="2"/>
        <v>3320.96</v>
      </c>
      <c r="I44" s="23">
        <f t="shared" si="3"/>
        <v>3846.6</v>
      </c>
      <c r="J44" s="121">
        <f t="shared" ref="J44:J53" si="18">IF(F44="N/A","N/A",ROUND((F44*0.42)/16,2))</f>
        <v>23.06</v>
      </c>
      <c r="K44" s="121">
        <f t="shared" ref="K44:K53" si="19">IF(G44="N/A","N/A",ROUND((G44*0.42)/16,2))</f>
        <v>26.71</v>
      </c>
      <c r="L44" s="24">
        <v>8800</v>
      </c>
      <c r="M44" s="20"/>
      <c r="N44" s="20"/>
      <c r="O44" s="104"/>
      <c r="P44" s="105"/>
      <c r="Q44" s="105"/>
      <c r="R44" s="106"/>
      <c r="S44" s="106"/>
      <c r="T44" s="20" t="s">
        <v>25</v>
      </c>
      <c r="U44" s="20" t="s">
        <v>25</v>
      </c>
      <c r="V44" s="20" t="s">
        <v>25</v>
      </c>
      <c r="W44" s="20" t="s">
        <v>25</v>
      </c>
    </row>
    <row r="45" spans="1:23" x14ac:dyDescent="0.2">
      <c r="A45" s="130">
        <v>149</v>
      </c>
      <c r="B45" s="72">
        <f>+A45-C45</f>
        <v>0</v>
      </c>
      <c r="C45" s="57">
        <v>149</v>
      </c>
      <c r="D45" s="58" t="s">
        <v>132</v>
      </c>
      <c r="E45" s="24">
        <v>11773.39</v>
      </c>
      <c r="F45" s="24">
        <f>+VLOOKUP(C45,'[1]Rates Emailed to LEAs 5.27'!$A$10:$H$197,4,FALSE)</f>
        <v>1367.25</v>
      </c>
      <c r="G45" s="24">
        <f>+VLOOKUP(C45,'[1]Rates Emailed to LEAs 5.27'!$A$10:$H$197,8,FALSE)</f>
        <v>1764.1</v>
      </c>
      <c r="H45" s="23">
        <f t="shared" si="2"/>
        <v>5168.21</v>
      </c>
      <c r="I45" s="23">
        <f t="shared" si="3"/>
        <v>6668.3</v>
      </c>
      <c r="J45" s="121">
        <f t="shared" si="18"/>
        <v>35.89</v>
      </c>
      <c r="K45" s="121">
        <f t="shared" si="19"/>
        <v>46.31</v>
      </c>
      <c r="L45" s="24">
        <v>8800</v>
      </c>
      <c r="M45" s="20"/>
      <c r="N45" s="20"/>
      <c r="O45" s="104"/>
      <c r="P45" s="105"/>
      <c r="Q45" s="105"/>
      <c r="R45" s="106"/>
      <c r="S45" s="106"/>
      <c r="T45" s="20" t="s">
        <v>25</v>
      </c>
      <c r="U45" s="20" t="s">
        <v>25</v>
      </c>
      <c r="V45" s="20" t="s">
        <v>25</v>
      </c>
      <c r="W45" s="20" t="s">
        <v>25</v>
      </c>
    </row>
    <row r="46" spans="1:23" x14ac:dyDescent="0.2">
      <c r="A46" s="130">
        <v>150</v>
      </c>
      <c r="B46" s="72">
        <f>+A46-C46</f>
        <v>0</v>
      </c>
      <c r="C46" s="57">
        <v>150</v>
      </c>
      <c r="D46" s="60" t="s">
        <v>131</v>
      </c>
      <c r="E46" s="24">
        <v>6510.94</v>
      </c>
      <c r="F46" s="24">
        <f>+VLOOKUP(C46,'[1]Rates Emailed to LEAs 5.27'!$A$10:$H$197,4,FALSE)</f>
        <v>854.82</v>
      </c>
      <c r="G46" s="24">
        <f>+VLOOKUP(C46,'[1]Rates Emailed to LEAs 5.27'!$A$10:$H$197,8,FALSE)</f>
        <v>1094.75</v>
      </c>
      <c r="H46" s="23">
        <f t="shared" si="2"/>
        <v>3231.22</v>
      </c>
      <c r="I46" s="23">
        <f t="shared" si="3"/>
        <v>4138.16</v>
      </c>
      <c r="J46" s="121">
        <f t="shared" si="18"/>
        <v>22.44</v>
      </c>
      <c r="K46" s="121">
        <f t="shared" si="19"/>
        <v>28.74</v>
      </c>
      <c r="L46" s="24">
        <v>8800</v>
      </c>
      <c r="M46" s="20"/>
      <c r="N46" s="20"/>
      <c r="O46" s="104"/>
      <c r="P46" s="105"/>
      <c r="Q46" s="105"/>
      <c r="R46" s="106"/>
      <c r="S46" s="106"/>
      <c r="T46" s="20" t="s">
        <v>25</v>
      </c>
      <c r="U46" s="20" t="s">
        <v>25</v>
      </c>
      <c r="V46" s="20" t="s">
        <v>25</v>
      </c>
      <c r="W46" s="20" t="s">
        <v>25</v>
      </c>
    </row>
    <row r="47" spans="1:23" x14ac:dyDescent="0.2">
      <c r="A47" s="130">
        <v>151</v>
      </c>
      <c r="B47" s="72">
        <f>+A47-C47</f>
        <v>0</v>
      </c>
      <c r="C47" s="57">
        <v>151</v>
      </c>
      <c r="D47" s="60" t="s">
        <v>130</v>
      </c>
      <c r="E47" s="24">
        <v>5921.49</v>
      </c>
      <c r="F47" s="24">
        <f>+VLOOKUP(C47,'[1]Rates Emailed to LEAs 5.27'!$A$10:$H$197,4,FALSE)</f>
        <v>670.97</v>
      </c>
      <c r="G47" s="24">
        <f>+VLOOKUP(C47,'[1]Rates Emailed to LEAs 5.27'!$A$10:$H$197,8,FALSE)</f>
        <v>953.04</v>
      </c>
      <c r="H47" s="23">
        <f t="shared" si="2"/>
        <v>2536.27</v>
      </c>
      <c r="I47" s="23">
        <f t="shared" si="3"/>
        <v>3602.49</v>
      </c>
      <c r="J47" s="121">
        <f t="shared" si="18"/>
        <v>17.61</v>
      </c>
      <c r="K47" s="121">
        <f t="shared" si="19"/>
        <v>25.02</v>
      </c>
      <c r="L47" s="24">
        <v>8800</v>
      </c>
      <c r="M47" s="20"/>
      <c r="N47" s="20"/>
      <c r="O47" s="104"/>
      <c r="P47" s="105"/>
      <c r="Q47" s="105"/>
      <c r="R47" s="106">
        <v>490</v>
      </c>
      <c r="S47" s="106">
        <v>66</v>
      </c>
      <c r="T47" s="20" t="s">
        <v>25</v>
      </c>
      <c r="U47" s="20" t="s">
        <v>25</v>
      </c>
      <c r="V47" s="20" t="s">
        <v>25</v>
      </c>
      <c r="W47" s="20" t="s">
        <v>25</v>
      </c>
    </row>
    <row r="48" spans="1:23" x14ac:dyDescent="0.2">
      <c r="A48" s="130">
        <v>161</v>
      </c>
      <c r="B48" s="72">
        <f>+A48-C48</f>
        <v>0</v>
      </c>
      <c r="C48" s="57">
        <v>161</v>
      </c>
      <c r="D48" s="58" t="s">
        <v>129</v>
      </c>
      <c r="E48" s="24">
        <v>12409.02</v>
      </c>
      <c r="F48" s="24">
        <f>+VLOOKUP(C48,'[1]Rates Emailed to LEAs 5.27'!$A$10:$H$197,4,FALSE)</f>
        <v>1487.5</v>
      </c>
      <c r="G48" s="24">
        <f>+VLOOKUP(C48,'[1]Rates Emailed to LEAs 5.27'!$A$10:$H$197,8,FALSE)</f>
        <v>2271.67</v>
      </c>
      <c r="H48" s="23">
        <f t="shared" si="2"/>
        <v>5622.75</v>
      </c>
      <c r="I48" s="23">
        <f t="shared" si="3"/>
        <v>8586.91</v>
      </c>
      <c r="J48" s="121">
        <f t="shared" si="18"/>
        <v>39.049999999999997</v>
      </c>
      <c r="K48" s="121">
        <f t="shared" si="19"/>
        <v>59.63</v>
      </c>
      <c r="L48" s="24">
        <v>8800</v>
      </c>
      <c r="M48" s="20"/>
      <c r="N48" s="20"/>
      <c r="O48" s="104"/>
      <c r="P48" s="105"/>
      <c r="Q48" s="105"/>
      <c r="R48" s="106">
        <v>267</v>
      </c>
      <c r="S48" s="106"/>
      <c r="T48" s="20" t="s">
        <v>25</v>
      </c>
      <c r="U48" s="20" t="s">
        <v>25</v>
      </c>
      <c r="V48" s="20" t="s">
        <v>25</v>
      </c>
      <c r="W48" s="20" t="s">
        <v>25</v>
      </c>
    </row>
    <row r="49" spans="1:23" x14ac:dyDescent="0.2">
      <c r="A49" s="130">
        <v>171</v>
      </c>
      <c r="B49" s="72">
        <f>+A49-C49</f>
        <v>0</v>
      </c>
      <c r="C49" s="57">
        <v>171</v>
      </c>
      <c r="D49" s="59" t="s">
        <v>128</v>
      </c>
      <c r="E49" s="24">
        <v>7860.06</v>
      </c>
      <c r="F49" s="24">
        <f>+VLOOKUP(C49,'[1]Rates Emailed to LEAs 5.27'!$A$10:$H$197,4,FALSE)</f>
        <v>1061.1600000000001</v>
      </c>
      <c r="G49" s="24">
        <f>+VLOOKUP(C49,'[1]Rates Emailed to LEAs 5.27'!$A$10:$H$197,8,FALSE)</f>
        <v>875.68</v>
      </c>
      <c r="H49" s="23">
        <f t="shared" si="2"/>
        <v>4011.18</v>
      </c>
      <c r="I49" s="23">
        <f t="shared" si="3"/>
        <v>3310.07</v>
      </c>
      <c r="J49" s="121">
        <f t="shared" si="18"/>
        <v>27.86</v>
      </c>
      <c r="K49" s="121">
        <f t="shared" si="19"/>
        <v>22.99</v>
      </c>
      <c r="L49" s="24">
        <v>8800</v>
      </c>
      <c r="M49" s="20"/>
      <c r="N49" s="20"/>
      <c r="O49" s="104"/>
      <c r="P49" s="105"/>
      <c r="Q49" s="105"/>
      <c r="R49" s="106">
        <v>49</v>
      </c>
      <c r="S49" s="106"/>
      <c r="T49" s="20" t="s">
        <v>25</v>
      </c>
      <c r="U49" s="20" t="s">
        <v>25</v>
      </c>
      <c r="V49" s="20" t="s">
        <v>25</v>
      </c>
      <c r="W49" s="20" t="s">
        <v>25</v>
      </c>
    </row>
    <row r="50" spans="1:23" x14ac:dyDescent="0.2">
      <c r="A50" s="130">
        <v>181</v>
      </c>
      <c r="B50" s="72">
        <f>+A50-C50</f>
        <v>0</v>
      </c>
      <c r="C50" s="57">
        <v>181</v>
      </c>
      <c r="D50" s="59" t="s">
        <v>127</v>
      </c>
      <c r="E50" s="24">
        <v>7767.66</v>
      </c>
      <c r="F50" s="24">
        <f>+VLOOKUP(C50,'[1]Rates Emailed to LEAs 5.27'!$A$10:$H$197,4,FALSE)</f>
        <v>1246.76</v>
      </c>
      <c r="G50" s="24">
        <f>+VLOOKUP(C50,'[1]Rates Emailed to LEAs 5.27'!$A$10:$H$197,8,FALSE)</f>
        <v>1368.27</v>
      </c>
      <c r="H50" s="23">
        <f t="shared" si="2"/>
        <v>4712.75</v>
      </c>
      <c r="I50" s="23">
        <f t="shared" si="3"/>
        <v>5172.0600000000004</v>
      </c>
      <c r="J50" s="121">
        <f t="shared" si="18"/>
        <v>32.729999999999997</v>
      </c>
      <c r="K50" s="121">
        <f t="shared" si="19"/>
        <v>35.92</v>
      </c>
      <c r="L50" s="24">
        <v>8800</v>
      </c>
      <c r="M50" s="20"/>
      <c r="N50" s="20"/>
      <c r="O50" s="104"/>
      <c r="P50" s="105"/>
      <c r="Q50" s="105"/>
      <c r="R50" s="106"/>
      <c r="S50" s="106"/>
      <c r="T50" s="20" t="s">
        <v>25</v>
      </c>
      <c r="U50" s="20" t="s">
        <v>25</v>
      </c>
      <c r="V50" s="20" t="s">
        <v>25</v>
      </c>
      <c r="W50" s="20" t="s">
        <v>25</v>
      </c>
    </row>
    <row r="51" spans="1:23" x14ac:dyDescent="0.2">
      <c r="A51" s="130">
        <v>182</v>
      </c>
      <c r="B51" s="72">
        <f>+A51-C51</f>
        <v>0</v>
      </c>
      <c r="C51" s="57">
        <v>182</v>
      </c>
      <c r="D51" s="59" t="s">
        <v>126</v>
      </c>
      <c r="E51" s="24">
        <v>7436.93</v>
      </c>
      <c r="F51" s="24">
        <f>+VLOOKUP(C51,'[1]Rates Emailed to LEAs 5.27'!$A$10:$H$197,4,FALSE)</f>
        <v>1215.05</v>
      </c>
      <c r="G51" s="24">
        <f>+VLOOKUP(C51,'[1]Rates Emailed to LEAs 5.27'!$A$10:$H$197,8,FALSE)</f>
        <v>1279.82</v>
      </c>
      <c r="H51" s="23">
        <f t="shared" si="2"/>
        <v>4592.8900000000003</v>
      </c>
      <c r="I51" s="23">
        <f t="shared" si="3"/>
        <v>4837.72</v>
      </c>
      <c r="J51" s="121">
        <f t="shared" si="18"/>
        <v>31.9</v>
      </c>
      <c r="K51" s="121">
        <f t="shared" si="19"/>
        <v>33.6</v>
      </c>
      <c r="L51" s="24">
        <v>8800</v>
      </c>
      <c r="M51" s="20"/>
      <c r="N51" s="20"/>
      <c r="O51" s="104"/>
      <c r="P51" s="105"/>
      <c r="Q51" s="105"/>
      <c r="R51" s="106"/>
      <c r="S51" s="106"/>
      <c r="T51" s="20" t="s">
        <v>25</v>
      </c>
      <c r="U51" s="20" t="s">
        <v>25</v>
      </c>
      <c r="V51" s="20" t="s">
        <v>25</v>
      </c>
      <c r="W51" s="20" t="s">
        <v>25</v>
      </c>
    </row>
    <row r="52" spans="1:23" x14ac:dyDescent="0.2">
      <c r="A52" s="130">
        <v>191</v>
      </c>
      <c r="B52" s="72">
        <f>+A52-C52</f>
        <v>0</v>
      </c>
      <c r="C52" s="57">
        <v>191</v>
      </c>
      <c r="D52" s="59" t="s">
        <v>125</v>
      </c>
      <c r="E52" s="24">
        <v>23708.06</v>
      </c>
      <c r="F52" s="24">
        <f>+VLOOKUP(C52,'[1]Rates Emailed to LEAs 5.27'!$A$10:$H$197,4,FALSE)</f>
        <v>3067.3</v>
      </c>
      <c r="G52" s="24">
        <f>+VLOOKUP(C52,'[1]Rates Emailed to LEAs 5.27'!$A$10:$H$197,8,FALSE)</f>
        <v>3067.3</v>
      </c>
      <c r="H52" s="23">
        <f t="shared" si="2"/>
        <v>11594.39</v>
      </c>
      <c r="I52" s="23">
        <f t="shared" si="3"/>
        <v>11594.39</v>
      </c>
      <c r="J52" s="121">
        <f t="shared" si="18"/>
        <v>80.52</v>
      </c>
      <c r="K52" s="121">
        <f t="shared" si="19"/>
        <v>80.52</v>
      </c>
      <c r="L52" s="24">
        <v>8800</v>
      </c>
      <c r="M52" s="20"/>
      <c r="N52" s="20"/>
      <c r="O52" s="104"/>
      <c r="P52" s="105"/>
      <c r="Q52" s="105"/>
      <c r="R52" s="106"/>
      <c r="S52" s="106"/>
      <c r="T52" s="20" t="s">
        <v>25</v>
      </c>
      <c r="U52" s="20" t="s">
        <v>25</v>
      </c>
      <c r="V52" s="20" t="s">
        <v>25</v>
      </c>
      <c r="W52" s="20" t="s">
        <v>25</v>
      </c>
    </row>
    <row r="53" spans="1:23" x14ac:dyDescent="0.2">
      <c r="A53" s="130">
        <v>192</v>
      </c>
      <c r="B53" s="72">
        <f>+A53-C53</f>
        <v>0</v>
      </c>
      <c r="C53" s="57">
        <v>192</v>
      </c>
      <c r="D53" s="59" t="s">
        <v>124</v>
      </c>
      <c r="E53" s="24">
        <v>7636.9</v>
      </c>
      <c r="F53" s="24">
        <f>+VLOOKUP(C53,'[1]Rates Emailed to LEAs 5.27'!$A$10:$H$197,4,FALSE)</f>
        <v>1011.51</v>
      </c>
      <c r="G53" s="24">
        <f>+VLOOKUP(C53,'[1]Rates Emailed to LEAs 5.27'!$A$10:$H$197,8,FALSE)</f>
        <v>1211</v>
      </c>
      <c r="H53" s="23">
        <f t="shared" si="2"/>
        <v>3823.51</v>
      </c>
      <c r="I53" s="23">
        <f t="shared" si="3"/>
        <v>4577.58</v>
      </c>
      <c r="J53" s="121">
        <f t="shared" si="18"/>
        <v>26.55</v>
      </c>
      <c r="K53" s="121">
        <f t="shared" si="19"/>
        <v>31.79</v>
      </c>
      <c r="L53" s="24">
        <v>8800</v>
      </c>
      <c r="M53" s="20"/>
      <c r="N53" s="20"/>
      <c r="O53" s="104"/>
      <c r="P53" s="105"/>
      <c r="Q53" s="105"/>
      <c r="R53" s="106"/>
      <c r="S53" s="106"/>
      <c r="T53" s="20" t="s">
        <v>25</v>
      </c>
      <c r="U53" s="20" t="s">
        <v>25</v>
      </c>
      <c r="V53" s="20" t="s">
        <v>25</v>
      </c>
      <c r="W53" s="20" t="s">
        <v>25</v>
      </c>
    </row>
    <row r="54" spans="1:23" x14ac:dyDescent="0.2">
      <c r="A54" s="130">
        <v>193</v>
      </c>
      <c r="B54" s="72">
        <f>+A54-C54</f>
        <v>0</v>
      </c>
      <c r="C54" s="57">
        <v>193</v>
      </c>
      <c r="D54" s="59" t="s">
        <v>123</v>
      </c>
      <c r="E54" s="24">
        <v>5665.64</v>
      </c>
      <c r="F54" s="24">
        <f>+VLOOKUP(C54,'[1]Rates Emailed to LEAs 5.27'!$A$10:$H$197,4,FALSE)</f>
        <v>720.92</v>
      </c>
      <c r="G54" s="24">
        <f>+VLOOKUP(C54,'[1]Rates Emailed to LEAs 5.27'!$A$10:$H$197,8,FALSE)</f>
        <v>822.4</v>
      </c>
      <c r="H54" s="23">
        <f t="shared" si="2"/>
        <v>2725.08</v>
      </c>
      <c r="I54" s="23">
        <f t="shared" si="3"/>
        <v>3108.67</v>
      </c>
      <c r="J54" s="23">
        <f t="shared" si="4"/>
        <v>15.14</v>
      </c>
      <c r="K54" s="23">
        <f t="shared" si="5"/>
        <v>17.27</v>
      </c>
      <c r="L54" s="131">
        <f>$L$8</f>
        <v>8800</v>
      </c>
      <c r="M54" s="20"/>
      <c r="N54" s="20"/>
      <c r="O54" s="104"/>
      <c r="P54" s="105"/>
      <c r="Q54" s="105"/>
      <c r="R54" s="106"/>
      <c r="S54" s="106"/>
      <c r="T54" s="20" t="s">
        <v>25</v>
      </c>
      <c r="U54" s="20" t="s">
        <v>25</v>
      </c>
      <c r="V54" s="20" t="s">
        <v>25</v>
      </c>
      <c r="W54" s="20" t="s">
        <v>25</v>
      </c>
    </row>
    <row r="55" spans="1:23" x14ac:dyDescent="0.2">
      <c r="A55" s="130">
        <v>201</v>
      </c>
      <c r="B55" s="72">
        <f>+A55-C55</f>
        <v>0</v>
      </c>
      <c r="C55" s="57">
        <v>201</v>
      </c>
      <c r="D55" s="59" t="s">
        <v>122</v>
      </c>
      <c r="E55" s="24">
        <v>5553.94</v>
      </c>
      <c r="F55" s="24">
        <f>+VLOOKUP(C55,'[1]Rates Emailed to LEAs 5.27'!$A$10:$H$197,4,FALSE)</f>
        <v>707.24</v>
      </c>
      <c r="G55" s="24">
        <f>+VLOOKUP(C55,'[1]Rates Emailed to LEAs 5.27'!$A$10:$H$197,8,FALSE)</f>
        <v>710.09</v>
      </c>
      <c r="H55" s="23">
        <f t="shared" si="2"/>
        <v>2673.37</v>
      </c>
      <c r="I55" s="23">
        <f t="shared" si="3"/>
        <v>2684.14</v>
      </c>
      <c r="J55" s="121">
        <f t="shared" ref="J55:J56" si="20">IF(F55="N/A","N/A",ROUND((F55*0.42)/16,2))</f>
        <v>18.57</v>
      </c>
      <c r="K55" s="121">
        <f t="shared" ref="K55:K56" si="21">IF(G55="N/A","N/A",ROUND((G55*0.42)/16,2))</f>
        <v>18.64</v>
      </c>
      <c r="L55" s="24">
        <v>8800</v>
      </c>
      <c r="M55" s="20"/>
      <c r="N55" s="20"/>
      <c r="O55" s="104"/>
      <c r="P55" s="105"/>
      <c r="Q55" s="105"/>
      <c r="R55" s="106">
        <v>93</v>
      </c>
      <c r="S55" s="106"/>
      <c r="T55" s="20" t="s">
        <v>25</v>
      </c>
      <c r="U55" s="20" t="s">
        <v>25</v>
      </c>
      <c r="V55" s="20" t="s">
        <v>25</v>
      </c>
      <c r="W55" s="20" t="s">
        <v>25</v>
      </c>
    </row>
    <row r="56" spans="1:23" x14ac:dyDescent="0.2">
      <c r="A56" s="130">
        <v>202</v>
      </c>
      <c r="B56" s="72">
        <f>+A56-C56</f>
        <v>0</v>
      </c>
      <c r="C56" s="57">
        <v>202</v>
      </c>
      <c r="D56" s="59" t="s">
        <v>121</v>
      </c>
      <c r="E56" s="24">
        <v>6316.09</v>
      </c>
      <c r="F56" s="24">
        <f>+VLOOKUP(C56,'[1]Rates Emailed to LEAs 5.27'!$A$10:$H$197,4,FALSE)</f>
        <v>655.49</v>
      </c>
      <c r="G56" s="24">
        <f>+VLOOKUP(C56,'[1]Rates Emailed to LEAs 5.27'!$A$10:$H$197,8,FALSE)</f>
        <v>799.32</v>
      </c>
      <c r="H56" s="23">
        <f t="shared" si="2"/>
        <v>2477.75</v>
      </c>
      <c r="I56" s="23">
        <f t="shared" si="3"/>
        <v>3021.43</v>
      </c>
      <c r="J56" s="121">
        <f t="shared" si="20"/>
        <v>17.21</v>
      </c>
      <c r="K56" s="121">
        <f t="shared" si="21"/>
        <v>20.98</v>
      </c>
      <c r="L56" s="24">
        <v>8800</v>
      </c>
      <c r="M56" s="20"/>
      <c r="N56" s="20"/>
      <c r="O56" s="104"/>
      <c r="P56" s="105"/>
      <c r="Q56" s="105"/>
      <c r="R56" s="106"/>
      <c r="S56" s="106"/>
      <c r="T56" s="20" t="s">
        <v>25</v>
      </c>
      <c r="U56" s="20" t="s">
        <v>25</v>
      </c>
      <c r="V56" s="20" t="s">
        <v>25</v>
      </c>
      <c r="W56" s="20" t="s">
        <v>25</v>
      </c>
    </row>
    <row r="57" spans="1:23" x14ac:dyDescent="0.2">
      <c r="A57" s="130">
        <v>215</v>
      </c>
      <c r="B57" s="72">
        <f>+A57-C57</f>
        <v>0</v>
      </c>
      <c r="C57" s="57">
        <v>215</v>
      </c>
      <c r="D57" s="59" t="s">
        <v>120</v>
      </c>
      <c r="E57" s="24">
        <v>6172.15</v>
      </c>
      <c r="F57" s="24">
        <f>+VLOOKUP(C57,'[1]Rates Emailed to LEAs 5.27'!$A$10:$H$197,4,FALSE)</f>
        <v>984.02</v>
      </c>
      <c r="G57" s="24">
        <f>+VLOOKUP(C57,'[1]Rates Emailed to LEAs 5.27'!$A$10:$H$197,8,FALSE)</f>
        <v>960.18</v>
      </c>
      <c r="H57" s="23">
        <f t="shared" si="2"/>
        <v>3719.6</v>
      </c>
      <c r="I57" s="23">
        <f t="shared" si="3"/>
        <v>3629.48</v>
      </c>
      <c r="J57" s="23">
        <f t="shared" si="4"/>
        <v>20.66</v>
      </c>
      <c r="K57" s="23">
        <f t="shared" si="5"/>
        <v>20.16</v>
      </c>
      <c r="L57" s="131">
        <f t="shared" ref="L57:L58" si="22">$L$8</f>
        <v>8800</v>
      </c>
      <c r="M57" s="20"/>
      <c r="N57" s="20"/>
      <c r="O57" s="104"/>
      <c r="P57" s="105"/>
      <c r="Q57" s="105"/>
      <c r="R57" s="106">
        <v>590</v>
      </c>
      <c r="S57" s="106">
        <v>599</v>
      </c>
      <c r="T57" s="107">
        <v>76</v>
      </c>
      <c r="U57" s="107">
        <v>2014.88</v>
      </c>
      <c r="V57" s="107">
        <v>44.6</v>
      </c>
      <c r="W57" s="107">
        <v>155.9</v>
      </c>
    </row>
    <row r="58" spans="1:23" x14ac:dyDescent="0.2">
      <c r="A58" s="130">
        <v>221</v>
      </c>
      <c r="B58" s="72">
        <f>+A58-C58</f>
        <v>0</v>
      </c>
      <c r="C58" s="57">
        <v>221</v>
      </c>
      <c r="D58" s="59" t="s">
        <v>119</v>
      </c>
      <c r="E58" s="24">
        <v>5821.35</v>
      </c>
      <c r="F58" s="24">
        <f>+VLOOKUP(C58,'[1]Rates Emailed to LEAs 5.27'!$A$10:$H$197,4,FALSE)</f>
        <v>758.88</v>
      </c>
      <c r="G58" s="24">
        <f>+VLOOKUP(C58,'[1]Rates Emailed to LEAs 5.27'!$A$10:$H$197,8,FALSE)</f>
        <v>814.82</v>
      </c>
      <c r="H58" s="23">
        <f t="shared" si="2"/>
        <v>2868.57</v>
      </c>
      <c r="I58" s="23">
        <f t="shared" si="3"/>
        <v>3080.02</v>
      </c>
      <c r="J58" s="23">
        <f t="shared" si="4"/>
        <v>15.94</v>
      </c>
      <c r="K58" s="23">
        <f t="shared" si="5"/>
        <v>17.11</v>
      </c>
      <c r="L58" s="131">
        <f t="shared" si="22"/>
        <v>8800</v>
      </c>
      <c r="M58" s="20"/>
      <c r="N58" s="20"/>
      <c r="O58" s="104"/>
      <c r="P58" s="105"/>
      <c r="Q58" s="108"/>
      <c r="R58" s="106"/>
      <c r="S58" s="106"/>
      <c r="T58" s="20" t="s">
        <v>25</v>
      </c>
      <c r="U58" s="20" t="s">
        <v>25</v>
      </c>
      <c r="V58" s="20" t="s">
        <v>25</v>
      </c>
      <c r="W58" s="20" t="s">
        <v>25</v>
      </c>
    </row>
    <row r="59" spans="1:23" x14ac:dyDescent="0.2">
      <c r="A59" s="130">
        <v>231</v>
      </c>
      <c r="B59" s="72">
        <f>+A59-C59</f>
        <v>0</v>
      </c>
      <c r="C59" s="57">
        <v>231</v>
      </c>
      <c r="D59" s="59" t="s">
        <v>117</v>
      </c>
      <c r="E59" s="24">
        <v>6146.85</v>
      </c>
      <c r="F59" s="24">
        <f>+VLOOKUP(C59,'[1]Rates Emailed to LEAs 5.27'!$A$10:$H$197,4,FALSE)</f>
        <v>736.32</v>
      </c>
      <c r="G59" s="24">
        <f>+VLOOKUP(C59,'[1]Rates Emailed to LEAs 5.27'!$A$10:$H$197,8,FALSE)</f>
        <v>912.52</v>
      </c>
      <c r="H59" s="23">
        <f t="shared" si="2"/>
        <v>2783.29</v>
      </c>
      <c r="I59" s="23">
        <f t="shared" si="3"/>
        <v>3449.33</v>
      </c>
      <c r="J59" s="121">
        <f t="shared" ref="J59:J62" si="23">IF(F59="N/A","N/A",ROUND((F59*0.42)/16,2))</f>
        <v>19.329999999999998</v>
      </c>
      <c r="K59" s="121">
        <f t="shared" ref="K59:K62" si="24">IF(G59="N/A","N/A",ROUND((G59*0.42)/16,2))</f>
        <v>23.95</v>
      </c>
      <c r="L59" s="24">
        <v>8800</v>
      </c>
      <c r="M59" s="20"/>
      <c r="N59" s="20"/>
      <c r="O59" s="104"/>
      <c r="P59" s="105"/>
      <c r="Q59" s="105"/>
      <c r="R59" s="106">
        <v>23</v>
      </c>
      <c r="S59" s="106"/>
      <c r="T59" s="20" t="s">
        <v>25</v>
      </c>
      <c r="U59" s="20" t="s">
        <v>25</v>
      </c>
      <c r="V59" s="20" t="s">
        <v>25</v>
      </c>
      <c r="W59" s="20" t="s">
        <v>25</v>
      </c>
    </row>
    <row r="60" spans="1:23" x14ac:dyDescent="0.2">
      <c r="A60" s="130">
        <v>232</v>
      </c>
      <c r="B60" s="72">
        <f>+A60-C60</f>
        <v>0</v>
      </c>
      <c r="C60" s="57">
        <v>232</v>
      </c>
      <c r="D60" s="59" t="s">
        <v>116</v>
      </c>
      <c r="E60" s="24">
        <v>6122.38</v>
      </c>
      <c r="F60" s="24">
        <f>+VLOOKUP(C60,'[1]Rates Emailed to LEAs 5.27'!$A$10:$H$197,4,FALSE)</f>
        <v>795.93</v>
      </c>
      <c r="G60" s="24">
        <f>+VLOOKUP(C60,'[1]Rates Emailed to LEAs 5.27'!$A$10:$H$197,8,FALSE)</f>
        <v>902.4</v>
      </c>
      <c r="H60" s="23">
        <f t="shared" si="2"/>
        <v>3008.62</v>
      </c>
      <c r="I60" s="23">
        <f t="shared" si="3"/>
        <v>3411.07</v>
      </c>
      <c r="J60" s="121">
        <f t="shared" si="23"/>
        <v>20.89</v>
      </c>
      <c r="K60" s="121">
        <f t="shared" si="24"/>
        <v>23.69</v>
      </c>
      <c r="L60" s="24">
        <v>8800</v>
      </c>
      <c r="M60" s="20"/>
      <c r="N60" s="20"/>
      <c r="O60" s="104"/>
      <c r="P60" s="105"/>
      <c r="Q60" s="105"/>
      <c r="R60" s="106"/>
      <c r="S60" s="106"/>
      <c r="T60" s="20" t="s">
        <v>25</v>
      </c>
      <c r="U60" s="20" t="s">
        <v>25</v>
      </c>
      <c r="V60" s="20" t="s">
        <v>25</v>
      </c>
      <c r="W60" s="20" t="s">
        <v>25</v>
      </c>
    </row>
    <row r="61" spans="1:23" x14ac:dyDescent="0.2">
      <c r="A61" s="130">
        <v>233</v>
      </c>
      <c r="B61" s="72">
        <f>+A61-C61</f>
        <v>0</v>
      </c>
      <c r="C61" s="57">
        <v>233</v>
      </c>
      <c r="D61" s="59" t="s">
        <v>115</v>
      </c>
      <c r="E61" s="24">
        <v>7673.49</v>
      </c>
      <c r="F61" s="24">
        <f>+VLOOKUP(C61,'[1]Rates Emailed to LEAs 5.27'!$A$10:$H$197,4,FALSE)</f>
        <v>816.48</v>
      </c>
      <c r="G61" s="24">
        <f>+VLOOKUP(C61,'[1]Rates Emailed to LEAs 5.27'!$A$10:$H$197,8,FALSE)</f>
        <v>1134.3</v>
      </c>
      <c r="H61" s="23">
        <f t="shared" si="2"/>
        <v>3086.29</v>
      </c>
      <c r="I61" s="23">
        <f t="shared" si="3"/>
        <v>4287.6499999999996</v>
      </c>
      <c r="J61" s="121">
        <f t="shared" si="23"/>
        <v>21.43</v>
      </c>
      <c r="K61" s="121">
        <f t="shared" si="24"/>
        <v>29.78</v>
      </c>
      <c r="L61" s="24">
        <v>8800</v>
      </c>
      <c r="M61" s="20"/>
      <c r="N61" s="20"/>
      <c r="O61" s="104"/>
      <c r="P61" s="105"/>
      <c r="Q61" s="105"/>
      <c r="R61" s="106"/>
      <c r="S61" s="106">
        <v>10</v>
      </c>
      <c r="T61" s="20" t="s">
        <v>25</v>
      </c>
      <c r="U61" s="20" t="s">
        <v>25</v>
      </c>
      <c r="V61" s="20" t="s">
        <v>25</v>
      </c>
      <c r="W61" s="20" t="s">
        <v>25</v>
      </c>
    </row>
    <row r="62" spans="1:23" x14ac:dyDescent="0.2">
      <c r="A62" s="130">
        <v>234</v>
      </c>
      <c r="B62" s="72">
        <f>+A62-C62</f>
        <v>0</v>
      </c>
      <c r="C62" s="57">
        <v>234</v>
      </c>
      <c r="D62" s="59" t="s">
        <v>114</v>
      </c>
      <c r="E62" s="24">
        <v>13991.88</v>
      </c>
      <c r="F62" s="24">
        <f>+VLOOKUP(C62,'[1]Rates Emailed to LEAs 5.27'!$A$10:$H$197,4,FALSE)</f>
        <v>1754.54</v>
      </c>
      <c r="G62" s="24">
        <f>+VLOOKUP(C62,'[1]Rates Emailed to LEAs 5.27'!$A$10:$H$197,8,FALSE)</f>
        <v>2025.42</v>
      </c>
      <c r="H62" s="23">
        <f t="shared" si="2"/>
        <v>6632.16</v>
      </c>
      <c r="I62" s="23">
        <f t="shared" si="3"/>
        <v>7656.09</v>
      </c>
      <c r="J62" s="121">
        <f t="shared" si="23"/>
        <v>46.06</v>
      </c>
      <c r="K62" s="121">
        <f t="shared" si="24"/>
        <v>53.17</v>
      </c>
      <c r="L62" s="24">
        <v>8800</v>
      </c>
      <c r="M62" s="20"/>
      <c r="N62" s="20"/>
      <c r="O62" s="104"/>
      <c r="P62" s="105"/>
      <c r="Q62" s="108"/>
      <c r="R62" s="106"/>
      <c r="S62" s="106"/>
      <c r="T62" s="20" t="s">
        <v>25</v>
      </c>
      <c r="U62" s="20" t="s">
        <v>25</v>
      </c>
      <c r="V62" s="20" t="s">
        <v>25</v>
      </c>
      <c r="W62" s="20" t="s">
        <v>25</v>
      </c>
    </row>
    <row r="63" spans="1:23" x14ac:dyDescent="0.2">
      <c r="A63" s="130">
        <v>242</v>
      </c>
      <c r="B63" s="72">
        <f>+A63-C63</f>
        <v>0</v>
      </c>
      <c r="C63" s="57">
        <v>242</v>
      </c>
      <c r="D63" s="58" t="s">
        <v>113</v>
      </c>
      <c r="E63" s="24">
        <v>7212.44</v>
      </c>
      <c r="F63" s="24">
        <f>+VLOOKUP(C63,'[1]Rates Emailed to LEAs 5.27'!$A$10:$H$197,4,FALSE)</f>
        <v>959.43</v>
      </c>
      <c r="G63" s="24">
        <f>+VLOOKUP(C63,'[1]Rates Emailed to LEAs 5.27'!$A$10:$H$197,8,FALSE)</f>
        <v>1108.18</v>
      </c>
      <c r="H63" s="23">
        <f t="shared" si="2"/>
        <v>3626.65</v>
      </c>
      <c r="I63" s="23">
        <f t="shared" si="3"/>
        <v>4188.92</v>
      </c>
      <c r="J63" s="23">
        <f t="shared" si="4"/>
        <v>20.149999999999999</v>
      </c>
      <c r="K63" s="23">
        <f t="shared" si="5"/>
        <v>23.27</v>
      </c>
      <c r="L63" s="131">
        <f>$L$8</f>
        <v>8800</v>
      </c>
      <c r="M63" s="20"/>
      <c r="N63" s="20"/>
      <c r="O63" s="104"/>
      <c r="P63" s="105"/>
      <c r="Q63" s="105"/>
      <c r="R63" s="106"/>
      <c r="S63" s="106"/>
      <c r="T63" s="20" t="s">
        <v>25</v>
      </c>
      <c r="U63" s="20" t="s">
        <v>25</v>
      </c>
      <c r="V63" s="20" t="s">
        <v>25</v>
      </c>
      <c r="W63" s="20" t="s">
        <v>25</v>
      </c>
    </row>
    <row r="64" spans="1:23" x14ac:dyDescent="0.2">
      <c r="A64" s="130">
        <v>243</v>
      </c>
      <c r="B64" s="72">
        <f>+A64-C64</f>
        <v>0</v>
      </c>
      <c r="C64" s="57">
        <v>243</v>
      </c>
      <c r="D64" s="59" t="s">
        <v>112</v>
      </c>
      <c r="E64" s="24">
        <v>11114.35</v>
      </c>
      <c r="F64" s="24">
        <f>+VLOOKUP(C64,'[1]Rates Emailed to LEAs 5.27'!$A$10:$H$197,4,FALSE)</f>
        <v>1828.95</v>
      </c>
      <c r="G64" s="24">
        <f>+VLOOKUP(C64,'[1]Rates Emailed to LEAs 5.27'!$A$10:$H$197,8,FALSE)</f>
        <v>2410.87</v>
      </c>
      <c r="H64" s="23">
        <f t="shared" si="2"/>
        <v>6913.43</v>
      </c>
      <c r="I64" s="23">
        <f t="shared" si="3"/>
        <v>9113.09</v>
      </c>
      <c r="J64" s="121">
        <f t="shared" ref="J64:J65" si="25">IF(F64="N/A","N/A",ROUND((F64*0.42)/16,2))</f>
        <v>48.01</v>
      </c>
      <c r="K64" s="121">
        <f t="shared" ref="K64:K65" si="26">IF(G64="N/A","N/A",ROUND((G64*0.42)/16,2))</f>
        <v>63.29</v>
      </c>
      <c r="L64" s="24">
        <v>8800</v>
      </c>
      <c r="M64" s="20"/>
      <c r="N64" s="20"/>
      <c r="O64" s="104"/>
      <c r="P64" s="105"/>
      <c r="Q64" s="105"/>
      <c r="R64" s="106"/>
      <c r="S64" s="106"/>
      <c r="T64" s="20" t="s">
        <v>25</v>
      </c>
      <c r="U64" s="20" t="s">
        <v>25</v>
      </c>
      <c r="V64" s="20" t="s">
        <v>25</v>
      </c>
      <c r="W64" s="20" t="s">
        <v>25</v>
      </c>
    </row>
    <row r="65" spans="1:23" x14ac:dyDescent="0.2">
      <c r="A65" s="130">
        <v>244</v>
      </c>
      <c r="B65" s="72">
        <f>+A65-C65</f>
        <v>0</v>
      </c>
      <c r="C65" s="57">
        <v>244</v>
      </c>
      <c r="D65" s="60" t="s">
        <v>111</v>
      </c>
      <c r="E65" s="24">
        <v>6743.69</v>
      </c>
      <c r="F65" s="24">
        <f>+VLOOKUP(C65,'[1]Rates Emailed to LEAs 5.27'!$A$10:$H$197,4,FALSE)</f>
        <v>1055.3800000000001</v>
      </c>
      <c r="G65" s="24">
        <f>+VLOOKUP(C65,'[1]Rates Emailed to LEAs 5.27'!$A$10:$H$197,8,FALSE)</f>
        <v>1067.8699999999999</v>
      </c>
      <c r="H65" s="23">
        <f t="shared" si="2"/>
        <v>3989.34</v>
      </c>
      <c r="I65" s="23">
        <f t="shared" si="3"/>
        <v>4036.55</v>
      </c>
      <c r="J65" s="121">
        <f t="shared" si="25"/>
        <v>27.7</v>
      </c>
      <c r="K65" s="121">
        <f t="shared" si="26"/>
        <v>28.03</v>
      </c>
      <c r="L65" s="24">
        <v>8800</v>
      </c>
      <c r="M65" s="20"/>
      <c r="N65" s="20"/>
      <c r="O65" s="104"/>
      <c r="P65" s="105"/>
      <c r="Q65" s="105"/>
      <c r="R65" s="106"/>
      <c r="S65" s="106"/>
      <c r="T65" s="20" t="s">
        <v>25</v>
      </c>
      <c r="U65" s="20" t="s">
        <v>25</v>
      </c>
      <c r="V65" s="20" t="s">
        <v>25</v>
      </c>
      <c r="W65" s="20" t="s">
        <v>25</v>
      </c>
    </row>
    <row r="66" spans="1:23" x14ac:dyDescent="0.2">
      <c r="A66" s="130">
        <v>251</v>
      </c>
      <c r="B66" s="72">
        <f>+A66-C66</f>
        <v>0</v>
      </c>
      <c r="C66" s="57">
        <v>251</v>
      </c>
      <c r="D66" s="60" t="s">
        <v>110</v>
      </c>
      <c r="E66" s="24">
        <v>5391.88</v>
      </c>
      <c r="F66" s="24">
        <f>+VLOOKUP(C66,'[1]Rates Emailed to LEAs 5.27'!$A$10:$H$197,4,FALSE)</f>
        <v>661.79</v>
      </c>
      <c r="G66" s="24">
        <f>+VLOOKUP(C66,'[1]Rates Emailed to LEAs 5.27'!$A$10:$H$197,8,FALSE)</f>
        <v>835.99</v>
      </c>
      <c r="H66" s="23">
        <f t="shared" si="2"/>
        <v>2501.5700000000002</v>
      </c>
      <c r="I66" s="23">
        <f t="shared" si="3"/>
        <v>3160.04</v>
      </c>
      <c r="J66" s="23">
        <f t="shared" si="4"/>
        <v>13.9</v>
      </c>
      <c r="K66" s="23">
        <f t="shared" si="5"/>
        <v>17.559999999999999</v>
      </c>
      <c r="L66" s="131">
        <f t="shared" ref="L66:L69" si="27">$L$8</f>
        <v>8800</v>
      </c>
      <c r="M66" s="20"/>
      <c r="N66" s="20"/>
      <c r="O66" s="104"/>
      <c r="P66" s="105"/>
      <c r="Q66" s="105"/>
      <c r="R66" s="106">
        <v>569</v>
      </c>
      <c r="S66" s="106">
        <v>48</v>
      </c>
      <c r="T66" s="20" t="s">
        <v>25</v>
      </c>
      <c r="U66" s="20" t="s">
        <v>25</v>
      </c>
      <c r="V66" s="20" t="s">
        <v>25</v>
      </c>
      <c r="W66" s="20" t="s">
        <v>25</v>
      </c>
    </row>
    <row r="67" spans="1:23" x14ac:dyDescent="0.2">
      <c r="A67" s="130">
        <v>252</v>
      </c>
      <c r="B67" s="72">
        <f>+A67-C67</f>
        <v>0</v>
      </c>
      <c r="C67" s="57">
        <v>252</v>
      </c>
      <c r="D67" s="59" t="s">
        <v>109</v>
      </c>
      <c r="E67" s="24">
        <v>6553.15</v>
      </c>
      <c r="F67" s="24">
        <f>+VLOOKUP(C67,'[1]Rates Emailed to LEAs 5.27'!$A$10:$H$197,4,FALSE)</f>
        <v>779.58</v>
      </c>
      <c r="G67" s="24">
        <f>+VLOOKUP(C67,'[1]Rates Emailed to LEAs 5.27'!$A$10:$H$197,8,FALSE)</f>
        <v>853.17</v>
      </c>
      <c r="H67" s="23">
        <f t="shared" si="2"/>
        <v>2946.81</v>
      </c>
      <c r="I67" s="23">
        <f t="shared" si="3"/>
        <v>3224.98</v>
      </c>
      <c r="J67" s="23">
        <f t="shared" si="4"/>
        <v>16.37</v>
      </c>
      <c r="K67" s="23">
        <f t="shared" si="5"/>
        <v>17.920000000000002</v>
      </c>
      <c r="L67" s="131">
        <f t="shared" si="27"/>
        <v>8800</v>
      </c>
      <c r="M67" s="20"/>
      <c r="N67" s="20"/>
      <c r="O67" s="104"/>
      <c r="P67" s="105"/>
      <c r="Q67" s="105"/>
      <c r="R67" s="106">
        <v>105</v>
      </c>
      <c r="S67" s="106"/>
      <c r="T67" s="20" t="s">
        <v>25</v>
      </c>
      <c r="U67" s="20" t="s">
        <v>25</v>
      </c>
      <c r="V67" s="20" t="s">
        <v>25</v>
      </c>
      <c r="W67" s="20" t="s">
        <v>25</v>
      </c>
    </row>
    <row r="68" spans="1:23" x14ac:dyDescent="0.2">
      <c r="A68" s="130">
        <v>253</v>
      </c>
      <c r="B68" s="72">
        <f>+A68-C68</f>
        <v>0</v>
      </c>
      <c r="C68" s="57">
        <v>253</v>
      </c>
      <c r="D68" s="59" t="s">
        <v>108</v>
      </c>
      <c r="E68" s="24">
        <v>7331.03</v>
      </c>
      <c r="F68" s="24">
        <f>+VLOOKUP(C68,'[1]Rates Emailed to LEAs 5.27'!$A$10:$H$197,4,FALSE)</f>
        <v>966.21</v>
      </c>
      <c r="G68" s="24">
        <f>+VLOOKUP(C68,'[1]Rates Emailed to LEAs 5.27'!$A$10:$H$197,8,FALSE)</f>
        <v>1030.98</v>
      </c>
      <c r="H68" s="23">
        <f t="shared" si="2"/>
        <v>3652.27</v>
      </c>
      <c r="I68" s="23">
        <f t="shared" si="3"/>
        <v>3897.1</v>
      </c>
      <c r="J68" s="23">
        <f t="shared" si="4"/>
        <v>20.29</v>
      </c>
      <c r="K68" s="23">
        <f t="shared" si="5"/>
        <v>21.65</v>
      </c>
      <c r="L68" s="131">
        <f t="shared" si="27"/>
        <v>8800</v>
      </c>
      <c r="M68" s="20"/>
      <c r="N68" s="20"/>
      <c r="O68" s="104"/>
      <c r="P68" s="105"/>
      <c r="Q68" s="105"/>
      <c r="R68" s="106">
        <v>459</v>
      </c>
      <c r="S68" s="106">
        <v>162</v>
      </c>
      <c r="T68" s="20" t="s">
        <v>25</v>
      </c>
      <c r="U68" s="20" t="s">
        <v>25</v>
      </c>
      <c r="V68" s="20" t="s">
        <v>25</v>
      </c>
      <c r="W68" s="20" t="s">
        <v>25</v>
      </c>
    </row>
    <row r="69" spans="1:23" x14ac:dyDescent="0.2">
      <c r="A69" s="130">
        <v>261</v>
      </c>
      <c r="B69" s="72">
        <f>+A69-C69</f>
        <v>0</v>
      </c>
      <c r="C69" s="57">
        <v>261</v>
      </c>
      <c r="D69" s="59" t="s">
        <v>107</v>
      </c>
      <c r="E69" s="24">
        <v>5674.33</v>
      </c>
      <c r="F69" s="24">
        <f>+VLOOKUP(C69,'[1]Rates Emailed to LEAs 5.27'!$A$10:$H$197,4,FALSE)</f>
        <v>769.17</v>
      </c>
      <c r="G69" s="24">
        <f>+VLOOKUP(C69,'[1]Rates Emailed to LEAs 5.27'!$A$10:$H$197,8,FALSE)</f>
        <v>878.09</v>
      </c>
      <c r="H69" s="23">
        <f t="shared" si="2"/>
        <v>2907.46</v>
      </c>
      <c r="I69" s="23">
        <f t="shared" si="3"/>
        <v>3319.18</v>
      </c>
      <c r="J69" s="23">
        <f t="shared" si="4"/>
        <v>16.149999999999999</v>
      </c>
      <c r="K69" s="23">
        <f t="shared" si="5"/>
        <v>18.440000000000001</v>
      </c>
      <c r="L69" s="131">
        <f t="shared" si="27"/>
        <v>8800</v>
      </c>
      <c r="M69" s="20"/>
      <c r="N69" s="20"/>
      <c r="O69" s="104"/>
      <c r="P69" s="105"/>
      <c r="Q69" s="105"/>
      <c r="R69" s="106">
        <v>383</v>
      </c>
      <c r="S69" s="106">
        <v>413</v>
      </c>
      <c r="T69" s="20" t="s">
        <v>25</v>
      </c>
      <c r="U69" s="20" t="s">
        <v>25</v>
      </c>
      <c r="V69" s="20" t="s">
        <v>25</v>
      </c>
      <c r="W69" s="20" t="s">
        <v>25</v>
      </c>
    </row>
    <row r="70" spans="1:23" x14ac:dyDescent="0.2">
      <c r="A70" s="130">
        <v>262</v>
      </c>
      <c r="B70" s="72">
        <f>+A70-C70</f>
        <v>0</v>
      </c>
      <c r="C70" s="57">
        <v>262</v>
      </c>
      <c r="D70" s="59" t="s">
        <v>106</v>
      </c>
      <c r="E70" s="24">
        <v>7158.35</v>
      </c>
      <c r="F70" s="24">
        <f>+VLOOKUP(C70,'[1]Rates Emailed to LEAs 5.27'!$A$10:$H$197,4,FALSE)</f>
        <v>852.64</v>
      </c>
      <c r="G70" s="24">
        <f>+VLOOKUP(C70,'[1]Rates Emailed to LEAs 5.27'!$A$10:$H$197,8,FALSE)</f>
        <v>1090.76</v>
      </c>
      <c r="H70" s="23">
        <f t="shared" si="2"/>
        <v>3222.98</v>
      </c>
      <c r="I70" s="23">
        <f t="shared" si="3"/>
        <v>4123.07</v>
      </c>
      <c r="J70" s="121">
        <f>IF(F70="N/A","N/A",ROUND((F70*0.42)/16,2))</f>
        <v>22.38</v>
      </c>
      <c r="K70" s="121">
        <f>IF(G70="N/A","N/A",ROUND((G70*0.42)/16,2))</f>
        <v>28.63</v>
      </c>
      <c r="L70" s="24">
        <v>8800</v>
      </c>
      <c r="M70" s="20"/>
      <c r="N70" s="20"/>
      <c r="O70" s="104"/>
      <c r="P70" s="105"/>
      <c r="Q70" s="105"/>
      <c r="R70" s="106"/>
      <c r="S70" s="106"/>
      <c r="T70" s="20" t="s">
        <v>25</v>
      </c>
      <c r="U70" s="20" t="s">
        <v>25</v>
      </c>
      <c r="V70" s="20" t="s">
        <v>25</v>
      </c>
      <c r="W70" s="20" t="s">
        <v>25</v>
      </c>
    </row>
    <row r="71" spans="1:23" x14ac:dyDescent="0.2">
      <c r="A71" s="130">
        <v>271</v>
      </c>
      <c r="B71" s="72">
        <f>+A71-C71</f>
        <v>0</v>
      </c>
      <c r="C71" s="57">
        <v>271</v>
      </c>
      <c r="D71" s="59" t="s">
        <v>105</v>
      </c>
      <c r="E71" s="24">
        <v>5502.73</v>
      </c>
      <c r="F71" s="24">
        <f>+VLOOKUP(C71,'[1]Rates Emailed to LEAs 5.27'!$A$10:$H$197,4,FALSE)</f>
        <v>904.06</v>
      </c>
      <c r="G71" s="24">
        <f>+VLOOKUP(C71,'[1]Rates Emailed to LEAs 5.27'!$A$10:$H$197,8,FALSE)</f>
        <v>944.72</v>
      </c>
      <c r="H71" s="23">
        <f t="shared" si="2"/>
        <v>3417.35</v>
      </c>
      <c r="I71" s="23">
        <f t="shared" si="3"/>
        <v>3571.04</v>
      </c>
      <c r="J71" s="23">
        <f t="shared" si="4"/>
        <v>18.989999999999998</v>
      </c>
      <c r="K71" s="23">
        <f t="shared" si="5"/>
        <v>19.84</v>
      </c>
      <c r="L71" s="131">
        <f t="shared" ref="L71:L80" si="28">$L$8</f>
        <v>8800</v>
      </c>
      <c r="M71" s="20"/>
      <c r="N71" s="20"/>
      <c r="O71" s="104"/>
      <c r="P71" s="105"/>
      <c r="Q71" s="105"/>
      <c r="R71" s="106">
        <v>1338</v>
      </c>
      <c r="S71" s="106">
        <v>1337.5</v>
      </c>
      <c r="T71" s="107">
        <v>41</v>
      </c>
      <c r="U71" s="107">
        <v>2391.1</v>
      </c>
      <c r="V71" s="107">
        <v>0</v>
      </c>
      <c r="W71" s="107">
        <v>0</v>
      </c>
    </row>
    <row r="72" spans="1:23" x14ac:dyDescent="0.2">
      <c r="A72" s="130">
        <v>272</v>
      </c>
      <c r="B72" s="72">
        <f>+A72-C72</f>
        <v>0</v>
      </c>
      <c r="C72" s="57">
        <v>272</v>
      </c>
      <c r="D72" s="58" t="s">
        <v>104</v>
      </c>
      <c r="E72" s="24">
        <v>5639.62</v>
      </c>
      <c r="F72" s="24">
        <f>+VLOOKUP(C72,'[1]Rates Emailed to LEAs 5.27'!$A$10:$H$197,4,FALSE)</f>
        <v>829.58</v>
      </c>
      <c r="G72" s="24">
        <f>+VLOOKUP(C72,'[1]Rates Emailed to LEAs 5.27'!$A$10:$H$197,8,FALSE)</f>
        <v>946.02</v>
      </c>
      <c r="H72" s="23">
        <f t="shared" si="2"/>
        <v>3135.81</v>
      </c>
      <c r="I72" s="23">
        <f t="shared" si="3"/>
        <v>3575.96</v>
      </c>
      <c r="J72" s="23">
        <f t="shared" si="4"/>
        <v>17.420000000000002</v>
      </c>
      <c r="K72" s="23">
        <f t="shared" si="5"/>
        <v>19.87</v>
      </c>
      <c r="L72" s="131">
        <f t="shared" si="28"/>
        <v>8800</v>
      </c>
      <c r="M72" s="20"/>
      <c r="N72" s="20"/>
      <c r="O72" s="104"/>
      <c r="P72" s="105"/>
      <c r="Q72" s="105"/>
      <c r="R72" s="106">
        <v>233</v>
      </c>
      <c r="S72" s="106">
        <v>256.5</v>
      </c>
      <c r="T72" s="20" t="s">
        <v>25</v>
      </c>
      <c r="U72" s="20" t="s">
        <v>25</v>
      </c>
      <c r="V72" s="20" t="s">
        <v>25</v>
      </c>
      <c r="W72" s="20" t="s">
        <v>25</v>
      </c>
    </row>
    <row r="73" spans="1:23" x14ac:dyDescent="0.2">
      <c r="A73" s="130">
        <v>273</v>
      </c>
      <c r="B73" s="72">
        <f>+A73-C73</f>
        <v>0</v>
      </c>
      <c r="C73" s="57">
        <v>273</v>
      </c>
      <c r="D73" s="59" t="s">
        <v>103</v>
      </c>
      <c r="E73" s="24">
        <v>5686.51</v>
      </c>
      <c r="F73" s="24">
        <f>+VLOOKUP(C73,'[1]Rates Emailed to LEAs 5.27'!$A$10:$H$197,4,FALSE)</f>
        <v>742.89</v>
      </c>
      <c r="G73" s="24">
        <f>+VLOOKUP(C73,'[1]Rates Emailed to LEAs 5.27'!$A$10:$H$197,8,FALSE)</f>
        <v>827.49</v>
      </c>
      <c r="H73" s="23">
        <f t="shared" si="2"/>
        <v>2808.12</v>
      </c>
      <c r="I73" s="23">
        <f t="shared" si="3"/>
        <v>3127.91</v>
      </c>
      <c r="J73" s="23">
        <f t="shared" si="4"/>
        <v>15.6</v>
      </c>
      <c r="K73" s="23">
        <f t="shared" si="5"/>
        <v>17.38</v>
      </c>
      <c r="L73" s="131">
        <f t="shared" si="28"/>
        <v>8800</v>
      </c>
      <c r="M73" s="20"/>
      <c r="N73" s="20"/>
      <c r="O73" s="104"/>
      <c r="P73" s="105"/>
      <c r="Q73" s="105"/>
      <c r="R73" s="106">
        <v>1833.5</v>
      </c>
      <c r="S73" s="106">
        <v>1555</v>
      </c>
      <c r="T73" s="20" t="s">
        <v>25</v>
      </c>
      <c r="U73" s="20" t="s">
        <v>25</v>
      </c>
      <c r="V73" s="20" t="s">
        <v>25</v>
      </c>
      <c r="W73" s="20" t="s">
        <v>25</v>
      </c>
    </row>
    <row r="74" spans="1:23" x14ac:dyDescent="0.2">
      <c r="A74" s="130">
        <v>274</v>
      </c>
      <c r="B74" s="72">
        <f>+A74-C74</f>
        <v>0</v>
      </c>
      <c r="C74" s="57">
        <v>274</v>
      </c>
      <c r="D74" s="59" t="s">
        <v>102</v>
      </c>
      <c r="E74" s="24">
        <v>9073.25</v>
      </c>
      <c r="F74" s="24">
        <f>+VLOOKUP(C74,'[1]Rates Emailed to LEAs 5.27'!$A$10:$H$197,4,FALSE)</f>
        <v>1608.83</v>
      </c>
      <c r="G74" s="24">
        <f>+VLOOKUP(C74,'[1]Rates Emailed to LEAs 5.27'!$A$10:$H$197,8,FALSE)</f>
        <v>2325.91</v>
      </c>
      <c r="H74" s="23">
        <f t="shared" ref="H74:H137" si="29">IFERROR((ROUND(F74*9*0.42,2)),"n/a")</f>
        <v>6081.38</v>
      </c>
      <c r="I74" s="23">
        <f t="shared" ref="I74:I137" si="30">IFERROR((ROUND(G74*9*0.42,2)),"n/a")</f>
        <v>8791.94</v>
      </c>
      <c r="J74" s="23">
        <f t="shared" ref="J74:J137" si="31">IF(F74="N/A","N/A",ROUND((F74*0.42)/20,2))</f>
        <v>33.79</v>
      </c>
      <c r="K74" s="23">
        <f t="shared" ref="K74:K137" si="32">IF(G74="N/A","N/A",ROUND((G74*0.42)/20,2))</f>
        <v>48.84</v>
      </c>
      <c r="L74" s="131">
        <f t="shared" si="28"/>
        <v>8800</v>
      </c>
      <c r="M74" s="20"/>
      <c r="N74" s="20"/>
      <c r="O74" s="104"/>
      <c r="P74" s="105"/>
      <c r="Q74" s="105"/>
      <c r="R74" s="106"/>
      <c r="S74" s="106">
        <v>35</v>
      </c>
      <c r="T74" s="20" t="s">
        <v>25</v>
      </c>
      <c r="U74" s="20" t="s">
        <v>25</v>
      </c>
      <c r="V74" s="20" t="s">
        <v>25</v>
      </c>
      <c r="W74" s="20" t="s">
        <v>25</v>
      </c>
    </row>
    <row r="75" spans="1:23" x14ac:dyDescent="0.2">
      <c r="A75" s="130">
        <v>281</v>
      </c>
      <c r="B75" s="72">
        <f>+A75-C75</f>
        <v>0</v>
      </c>
      <c r="C75" s="57">
        <v>281</v>
      </c>
      <c r="D75" s="58" t="s">
        <v>101</v>
      </c>
      <c r="E75" s="24">
        <v>5745.13</v>
      </c>
      <c r="F75" s="24">
        <f>+VLOOKUP(C75,'[1]Rates Emailed to LEAs 5.27'!$A$10:$H$197,4,FALSE)</f>
        <v>1298.82</v>
      </c>
      <c r="G75" s="24">
        <f>+VLOOKUP(C75,'[1]Rates Emailed to LEAs 5.27'!$A$10:$H$197,8,FALSE)</f>
        <v>1267.42</v>
      </c>
      <c r="H75" s="23">
        <f t="shared" si="29"/>
        <v>4909.54</v>
      </c>
      <c r="I75" s="23">
        <f t="shared" si="30"/>
        <v>4790.8500000000004</v>
      </c>
      <c r="J75" s="23">
        <f t="shared" si="31"/>
        <v>27.28</v>
      </c>
      <c r="K75" s="23">
        <f t="shared" si="32"/>
        <v>26.62</v>
      </c>
      <c r="L75" s="131">
        <f t="shared" si="28"/>
        <v>8800</v>
      </c>
      <c r="M75" s="20"/>
      <c r="N75" s="20"/>
      <c r="O75" s="104"/>
      <c r="P75" s="105"/>
      <c r="Q75" s="105"/>
      <c r="R75" s="106">
        <v>695.5</v>
      </c>
      <c r="S75" s="106">
        <v>169</v>
      </c>
      <c r="T75" s="20" t="s">
        <v>25</v>
      </c>
      <c r="U75" s="20" t="s">
        <v>25</v>
      </c>
      <c r="V75" s="20" t="s">
        <v>25</v>
      </c>
      <c r="W75" s="20" t="s">
        <v>25</v>
      </c>
    </row>
    <row r="76" spans="1:23" x14ac:dyDescent="0.2">
      <c r="A76" s="130">
        <v>282</v>
      </c>
      <c r="B76" s="72">
        <f>+A76-C76</f>
        <v>0</v>
      </c>
      <c r="C76" s="57">
        <v>282</v>
      </c>
      <c r="D76" s="59" t="s">
        <v>99</v>
      </c>
      <c r="E76" s="24">
        <v>8233.77</v>
      </c>
      <c r="F76" s="24">
        <f>+VLOOKUP(C76,'[1]Rates Emailed to LEAs 5.27'!$A$10:$H$197,4,FALSE)</f>
        <v>1306.01</v>
      </c>
      <c r="G76" s="24">
        <f>+VLOOKUP(C76,'[1]Rates Emailed to LEAs 5.27'!$A$10:$H$197,8,FALSE)</f>
        <v>1581.81</v>
      </c>
      <c r="H76" s="23">
        <f t="shared" si="29"/>
        <v>4936.72</v>
      </c>
      <c r="I76" s="23">
        <f t="shared" si="30"/>
        <v>5979.24</v>
      </c>
      <c r="J76" s="23">
        <f t="shared" si="31"/>
        <v>27.43</v>
      </c>
      <c r="K76" s="23">
        <f t="shared" si="32"/>
        <v>33.22</v>
      </c>
      <c r="L76" s="131">
        <f t="shared" si="28"/>
        <v>8800</v>
      </c>
      <c r="M76" s="20"/>
      <c r="N76" s="20"/>
      <c r="O76" s="104"/>
      <c r="P76" s="105"/>
      <c r="Q76" s="105"/>
      <c r="R76" s="106"/>
      <c r="S76" s="106"/>
      <c r="T76" s="20" t="s">
        <v>25</v>
      </c>
      <c r="U76" s="20" t="s">
        <v>25</v>
      </c>
      <c r="V76" s="20" t="s">
        <v>25</v>
      </c>
      <c r="W76" s="20" t="s">
        <v>25</v>
      </c>
    </row>
    <row r="77" spans="1:23" x14ac:dyDescent="0.2">
      <c r="A77" s="130">
        <v>283</v>
      </c>
      <c r="B77" s="72">
        <f>+A77-C77</f>
        <v>0</v>
      </c>
      <c r="C77" s="57">
        <v>283</v>
      </c>
      <c r="D77" s="59" t="s">
        <v>98</v>
      </c>
      <c r="E77" s="24">
        <v>8064.17</v>
      </c>
      <c r="F77" s="24">
        <f>+VLOOKUP(C77,'[1]Rates Emailed to LEAs 5.27'!$A$10:$H$197,4,FALSE)</f>
        <v>1286.3499999999999</v>
      </c>
      <c r="G77" s="24">
        <f>+VLOOKUP(C77,'[1]Rates Emailed to LEAs 5.27'!$A$10:$H$197,8,FALSE)</f>
        <v>1390.99</v>
      </c>
      <c r="H77" s="23">
        <f t="shared" si="29"/>
        <v>4862.3999999999996</v>
      </c>
      <c r="I77" s="23">
        <f t="shared" si="30"/>
        <v>5257.94</v>
      </c>
      <c r="J77" s="23">
        <f t="shared" si="31"/>
        <v>27.01</v>
      </c>
      <c r="K77" s="23">
        <f t="shared" si="32"/>
        <v>29.21</v>
      </c>
      <c r="L77" s="131">
        <f t="shared" si="28"/>
        <v>8800</v>
      </c>
      <c r="M77" s="20"/>
      <c r="N77" s="20"/>
      <c r="O77" s="104"/>
      <c r="P77" s="105"/>
      <c r="Q77" s="105"/>
      <c r="R77" s="106"/>
      <c r="S77" s="106"/>
      <c r="T77" s="20" t="s">
        <v>25</v>
      </c>
      <c r="U77" s="20" t="s">
        <v>25</v>
      </c>
      <c r="V77" s="20" t="s">
        <v>25</v>
      </c>
      <c r="W77" s="20" t="s">
        <v>25</v>
      </c>
    </row>
    <row r="78" spans="1:23" x14ac:dyDescent="0.2">
      <c r="A78" s="130">
        <v>285</v>
      </c>
      <c r="B78" s="72">
        <f>+A78-C78</f>
        <v>0</v>
      </c>
      <c r="C78" s="57">
        <v>285</v>
      </c>
      <c r="D78" s="59" t="s">
        <v>97</v>
      </c>
      <c r="E78" s="24">
        <v>7182.21</v>
      </c>
      <c r="F78" s="24">
        <f>+VLOOKUP(C78,'[1]Rates Emailed to LEAs 5.27'!$A$10:$H$197,4,FALSE)</f>
        <v>1191.94</v>
      </c>
      <c r="G78" s="24">
        <f>+VLOOKUP(C78,'[1]Rates Emailed to LEAs 5.27'!$A$10:$H$197,8,FALSE)</f>
        <v>1323.34</v>
      </c>
      <c r="H78" s="23">
        <f t="shared" si="29"/>
        <v>4505.53</v>
      </c>
      <c r="I78" s="23">
        <f t="shared" si="30"/>
        <v>5002.2299999999996</v>
      </c>
      <c r="J78" s="23">
        <f t="shared" si="31"/>
        <v>25.03</v>
      </c>
      <c r="K78" s="23">
        <f t="shared" si="32"/>
        <v>27.79</v>
      </c>
      <c r="L78" s="131">
        <f t="shared" si="28"/>
        <v>8800</v>
      </c>
      <c r="M78" s="20"/>
      <c r="N78" s="20"/>
      <c r="O78" s="104"/>
      <c r="P78" s="105"/>
      <c r="Q78" s="105"/>
      <c r="R78" s="106"/>
      <c r="S78" s="106"/>
      <c r="T78" s="20" t="s">
        <v>25</v>
      </c>
      <c r="U78" s="20" t="s">
        <v>25</v>
      </c>
      <c r="V78" s="20" t="s">
        <v>25</v>
      </c>
      <c r="W78" s="20" t="s">
        <v>25</v>
      </c>
    </row>
    <row r="79" spans="1:23" x14ac:dyDescent="0.2">
      <c r="A79" s="130">
        <v>287</v>
      </c>
      <c r="B79" s="72">
        <f>+A79-C79</f>
        <v>0</v>
      </c>
      <c r="C79" s="57">
        <v>287</v>
      </c>
      <c r="D79" s="59" t="s">
        <v>96</v>
      </c>
      <c r="E79" s="24">
        <v>7851.35</v>
      </c>
      <c r="F79" s="24">
        <f>+VLOOKUP(C79,'[1]Rates Emailed to LEAs 5.27'!$A$10:$H$197,4,FALSE)</f>
        <v>1248.83</v>
      </c>
      <c r="G79" s="24">
        <f>+VLOOKUP(C79,'[1]Rates Emailed to LEAs 5.27'!$A$10:$H$197,8,FALSE)</f>
        <v>1572.07</v>
      </c>
      <c r="H79" s="23">
        <f t="shared" si="29"/>
        <v>4720.58</v>
      </c>
      <c r="I79" s="23">
        <f t="shared" si="30"/>
        <v>5942.42</v>
      </c>
      <c r="J79" s="23">
        <f t="shared" si="31"/>
        <v>26.23</v>
      </c>
      <c r="K79" s="23">
        <f t="shared" si="32"/>
        <v>33.01</v>
      </c>
      <c r="L79" s="131">
        <f t="shared" si="28"/>
        <v>8800</v>
      </c>
      <c r="M79" s="20"/>
      <c r="N79" s="20"/>
      <c r="O79" s="104"/>
      <c r="P79" s="105"/>
      <c r="Q79" s="105"/>
      <c r="R79" s="106"/>
      <c r="S79" s="106"/>
      <c r="T79" s="20" t="s">
        <v>25</v>
      </c>
      <c r="U79" s="20" t="s">
        <v>25</v>
      </c>
      <c r="V79" s="20" t="s">
        <v>25</v>
      </c>
      <c r="W79" s="20" t="s">
        <v>25</v>
      </c>
    </row>
    <row r="80" spans="1:23" x14ac:dyDescent="0.2">
      <c r="A80" s="130">
        <v>288</v>
      </c>
      <c r="B80" s="72">
        <f>+A80-C80</f>
        <v>0</v>
      </c>
      <c r="C80" s="57">
        <v>288</v>
      </c>
      <c r="D80" s="58" t="s">
        <v>183</v>
      </c>
      <c r="E80" s="24">
        <v>9770.0400000000009</v>
      </c>
      <c r="F80" s="24">
        <f>+VLOOKUP(C80,'[1]Rates Emailed to LEAs 5.27'!$A$10:$H$197,4,FALSE)</f>
        <v>1693.42</v>
      </c>
      <c r="G80" s="24">
        <f>+VLOOKUP(C80,'[1]Rates Emailed to LEAs 5.27'!$A$10:$H$197,8,FALSE)</f>
        <v>1587.92</v>
      </c>
      <c r="H80" s="23">
        <f t="shared" si="29"/>
        <v>6401.13</v>
      </c>
      <c r="I80" s="23">
        <f t="shared" si="30"/>
        <v>6002.34</v>
      </c>
      <c r="J80" s="23">
        <f t="shared" si="31"/>
        <v>35.56</v>
      </c>
      <c r="K80" s="23">
        <f t="shared" si="32"/>
        <v>33.35</v>
      </c>
      <c r="L80" s="131">
        <f t="shared" si="28"/>
        <v>8800</v>
      </c>
      <c r="M80" s="20"/>
      <c r="N80" s="20"/>
      <c r="O80" s="104"/>
      <c r="P80" s="105"/>
      <c r="Q80" s="108"/>
      <c r="R80" s="106">
        <v>163.5</v>
      </c>
      <c r="S80" s="106"/>
      <c r="T80" s="20" t="s">
        <v>25</v>
      </c>
      <c r="U80" s="20" t="s">
        <v>25</v>
      </c>
      <c r="V80" s="20" t="s">
        <v>25</v>
      </c>
      <c r="W80" s="20" t="s">
        <v>25</v>
      </c>
    </row>
    <row r="81" spans="1:23" x14ac:dyDescent="0.2">
      <c r="A81" s="130">
        <v>291</v>
      </c>
      <c r="B81" s="72">
        <f>+A81-C81</f>
        <v>0</v>
      </c>
      <c r="C81" s="57">
        <v>291</v>
      </c>
      <c r="D81" s="59" t="s">
        <v>95</v>
      </c>
      <c r="E81" s="24">
        <v>6937.72</v>
      </c>
      <c r="F81" s="24">
        <f>+VLOOKUP(C81,'[1]Rates Emailed to LEAs 5.27'!$A$10:$H$197,4,FALSE)</f>
        <v>764.41</v>
      </c>
      <c r="G81" s="24">
        <f>+VLOOKUP(C81,'[1]Rates Emailed to LEAs 5.27'!$A$10:$H$197,8,FALSE)</f>
        <v>893.21</v>
      </c>
      <c r="H81" s="23">
        <f t="shared" si="29"/>
        <v>2889.47</v>
      </c>
      <c r="I81" s="23">
        <f t="shared" si="30"/>
        <v>3376.33</v>
      </c>
      <c r="J81" s="121">
        <f t="shared" ref="J81:J82" si="33">IF(F81="N/A","N/A",ROUND((F81*0.42)/16,2))</f>
        <v>20.07</v>
      </c>
      <c r="K81" s="121">
        <f t="shared" ref="K81:K82" si="34">IF(G81="N/A","N/A",ROUND((G81*0.42)/16,2))</f>
        <v>23.45</v>
      </c>
      <c r="L81" s="24">
        <v>8800</v>
      </c>
      <c r="M81" s="20"/>
      <c r="N81" s="20"/>
      <c r="O81" s="104"/>
      <c r="P81" s="105"/>
      <c r="Q81" s="105"/>
      <c r="R81" s="106"/>
      <c r="S81" s="106"/>
      <c r="T81" s="107">
        <v>0</v>
      </c>
      <c r="U81" s="107">
        <v>18.78</v>
      </c>
      <c r="V81" s="107">
        <v>0</v>
      </c>
      <c r="W81" s="107">
        <v>0</v>
      </c>
    </row>
    <row r="82" spans="1:23" x14ac:dyDescent="0.2">
      <c r="A82" s="130">
        <v>292</v>
      </c>
      <c r="B82" s="72">
        <f>+A82-C82</f>
        <v>0</v>
      </c>
      <c r="C82" s="57">
        <v>292</v>
      </c>
      <c r="D82" s="59" t="s">
        <v>94</v>
      </c>
      <c r="E82" s="24">
        <v>13366.81</v>
      </c>
      <c r="F82" s="24">
        <f>+VLOOKUP(C82,'[1]Rates Emailed to LEAs 5.27'!$A$10:$H$197,4,FALSE)</f>
        <v>1374.85</v>
      </c>
      <c r="G82" s="24">
        <f>+VLOOKUP(C82,'[1]Rates Emailed to LEAs 5.27'!$A$10:$H$197,8,FALSE)</f>
        <v>1977.3</v>
      </c>
      <c r="H82" s="23">
        <f t="shared" si="29"/>
        <v>5196.93</v>
      </c>
      <c r="I82" s="23">
        <f t="shared" si="30"/>
        <v>7474.19</v>
      </c>
      <c r="J82" s="121">
        <f t="shared" si="33"/>
        <v>36.090000000000003</v>
      </c>
      <c r="K82" s="121">
        <f t="shared" si="34"/>
        <v>51.9</v>
      </c>
      <c r="L82" s="24">
        <v>8800</v>
      </c>
      <c r="M82" s="20"/>
      <c r="N82" s="20"/>
      <c r="O82" s="104"/>
      <c r="P82" s="105"/>
      <c r="Q82" s="105"/>
      <c r="R82" s="106"/>
      <c r="S82" s="106"/>
      <c r="T82" s="20" t="s">
        <v>25</v>
      </c>
      <c r="U82" s="20" t="s">
        <v>25</v>
      </c>
      <c r="V82" s="20" t="s">
        <v>25</v>
      </c>
      <c r="W82" s="20" t="s">
        <v>25</v>
      </c>
    </row>
    <row r="83" spans="1:23" x14ac:dyDescent="0.2">
      <c r="A83" s="130">
        <v>302</v>
      </c>
      <c r="B83" s="72">
        <f>+A83-C83</f>
        <v>0</v>
      </c>
      <c r="C83" s="57">
        <v>302</v>
      </c>
      <c r="D83" s="59" t="s">
        <v>93</v>
      </c>
      <c r="E83" s="24">
        <v>10165.299999999999</v>
      </c>
      <c r="F83" s="24">
        <f>+VLOOKUP(C83,'[1]Rates Emailed to LEAs 5.27'!$A$10:$H$197,4,FALSE)</f>
        <v>1357.49</v>
      </c>
      <c r="G83" s="24">
        <f>+VLOOKUP(C83,'[1]Rates Emailed to LEAs 5.27'!$A$10:$H$197,8,FALSE)</f>
        <v>1794.47</v>
      </c>
      <c r="H83" s="23">
        <f t="shared" si="29"/>
        <v>5131.3100000000004</v>
      </c>
      <c r="I83" s="23">
        <f t="shared" si="30"/>
        <v>6783.1</v>
      </c>
      <c r="J83" s="23">
        <f t="shared" si="31"/>
        <v>28.51</v>
      </c>
      <c r="K83" s="23">
        <f t="shared" si="32"/>
        <v>37.68</v>
      </c>
      <c r="L83" s="131">
        <f>$L$8</f>
        <v>8800</v>
      </c>
      <c r="M83" s="20"/>
      <c r="N83" s="20"/>
      <c r="O83" s="104"/>
      <c r="P83" s="105"/>
      <c r="Q83" s="105"/>
      <c r="R83" s="106"/>
      <c r="S83" s="106"/>
      <c r="T83" s="20" t="s">
        <v>25</v>
      </c>
      <c r="U83" s="20" t="s">
        <v>25</v>
      </c>
      <c r="V83" s="20" t="s">
        <v>25</v>
      </c>
      <c r="W83" s="20" t="s">
        <v>25</v>
      </c>
    </row>
    <row r="84" spans="1:23" x14ac:dyDescent="0.2">
      <c r="A84" s="130">
        <v>304</v>
      </c>
      <c r="B84" s="72">
        <f>+A84-C84</f>
        <v>0</v>
      </c>
      <c r="C84" s="57">
        <v>304</v>
      </c>
      <c r="D84" s="59" t="s">
        <v>92</v>
      </c>
      <c r="E84" s="24">
        <v>7583.44</v>
      </c>
      <c r="F84" s="24">
        <f>+VLOOKUP(C84,'[1]Rates Emailed to LEAs 5.27'!$A$10:$H$197,4,FALSE)</f>
        <v>1299.8399999999999</v>
      </c>
      <c r="G84" s="24">
        <f>+VLOOKUP(C84,'[1]Rates Emailed to LEAs 5.27'!$A$10:$H$197,8,FALSE)</f>
        <v>1032.1300000000001</v>
      </c>
      <c r="H84" s="23">
        <f t="shared" si="29"/>
        <v>4913.3999999999996</v>
      </c>
      <c r="I84" s="23">
        <f t="shared" si="30"/>
        <v>3901.45</v>
      </c>
      <c r="J84" s="121">
        <f t="shared" ref="J84:J88" si="35">IF(F84="N/A","N/A",ROUND((F84*0.42)/16,2))</f>
        <v>34.119999999999997</v>
      </c>
      <c r="K84" s="121">
        <f t="shared" ref="K84:K88" si="36">IF(G84="N/A","N/A",ROUND((G84*0.42)/16,2))</f>
        <v>27.09</v>
      </c>
      <c r="L84" s="24">
        <v>8800</v>
      </c>
      <c r="M84" s="20"/>
      <c r="N84" s="20"/>
      <c r="O84" s="104"/>
      <c r="P84" s="105"/>
      <c r="Q84" s="105"/>
      <c r="R84" s="106"/>
      <c r="S84" s="106"/>
      <c r="T84" s="20" t="s">
        <v>25</v>
      </c>
      <c r="U84" s="20" t="s">
        <v>25</v>
      </c>
      <c r="V84" s="20" t="s">
        <v>25</v>
      </c>
      <c r="W84" s="20" t="s">
        <v>25</v>
      </c>
    </row>
    <row r="85" spans="1:23" x14ac:dyDescent="0.2">
      <c r="A85" s="130">
        <v>305</v>
      </c>
      <c r="B85" s="72">
        <f>+A85-C85</f>
        <v>0</v>
      </c>
      <c r="C85" s="57">
        <v>305</v>
      </c>
      <c r="D85" s="59" t="s">
        <v>91</v>
      </c>
      <c r="E85" s="24">
        <v>9262.91</v>
      </c>
      <c r="F85" s="24">
        <f>+VLOOKUP(C85,'[1]Rates Emailed to LEAs 5.27'!$A$10:$H$197,4,FALSE)</f>
        <v>1601.12</v>
      </c>
      <c r="G85" s="24">
        <f>+VLOOKUP(C85,'[1]Rates Emailed to LEAs 5.27'!$A$10:$H$197,8,FALSE)</f>
        <v>1803.24</v>
      </c>
      <c r="H85" s="23">
        <f t="shared" si="29"/>
        <v>6052.23</v>
      </c>
      <c r="I85" s="23">
        <f t="shared" si="30"/>
        <v>6816.25</v>
      </c>
      <c r="J85" s="121">
        <f t="shared" si="35"/>
        <v>42.03</v>
      </c>
      <c r="K85" s="121">
        <f t="shared" si="36"/>
        <v>47.34</v>
      </c>
      <c r="L85" s="24">
        <v>8800</v>
      </c>
      <c r="M85" s="20"/>
      <c r="N85" s="20"/>
      <c r="O85" s="104"/>
      <c r="P85" s="105"/>
      <c r="Q85" s="105"/>
      <c r="R85" s="106"/>
      <c r="S85" s="106"/>
      <c r="T85" s="20" t="s">
        <v>25</v>
      </c>
      <c r="U85" s="20" t="s">
        <v>25</v>
      </c>
      <c r="V85" s="20" t="s">
        <v>25</v>
      </c>
      <c r="W85" s="20" t="s">
        <v>25</v>
      </c>
    </row>
    <row r="86" spans="1:23" x14ac:dyDescent="0.2">
      <c r="A86" s="130">
        <v>312</v>
      </c>
      <c r="B86" s="72">
        <f>+A86-C86</f>
        <v>0</v>
      </c>
      <c r="C86" s="57">
        <v>312</v>
      </c>
      <c r="D86" s="60" t="s">
        <v>90</v>
      </c>
      <c r="E86" s="24">
        <v>7228.39</v>
      </c>
      <c r="F86" s="24">
        <f>+VLOOKUP(C86,'[1]Rates Emailed to LEAs 5.27'!$A$10:$H$197,4,FALSE)</f>
        <v>778.38</v>
      </c>
      <c r="G86" s="24">
        <f>+VLOOKUP(C86,'[1]Rates Emailed to LEAs 5.27'!$A$10:$H$197,8,FALSE)</f>
        <v>1057.21</v>
      </c>
      <c r="H86" s="23">
        <f t="shared" si="29"/>
        <v>2942.28</v>
      </c>
      <c r="I86" s="23">
        <f t="shared" si="30"/>
        <v>3996.25</v>
      </c>
      <c r="J86" s="121">
        <f t="shared" si="35"/>
        <v>20.43</v>
      </c>
      <c r="K86" s="121">
        <f t="shared" si="36"/>
        <v>27.75</v>
      </c>
      <c r="L86" s="24">
        <v>8800</v>
      </c>
      <c r="M86" s="20"/>
      <c r="N86" s="20"/>
      <c r="O86" s="104"/>
      <c r="P86" s="105"/>
      <c r="Q86" s="105"/>
      <c r="R86" s="106">
        <v>212</v>
      </c>
      <c r="S86" s="106"/>
      <c r="T86" s="20" t="s">
        <v>25</v>
      </c>
      <c r="U86" s="20" t="s">
        <v>25</v>
      </c>
      <c r="V86" s="20" t="s">
        <v>25</v>
      </c>
      <c r="W86" s="20" t="s">
        <v>25</v>
      </c>
    </row>
    <row r="87" spans="1:23" x14ac:dyDescent="0.2">
      <c r="A87" s="130">
        <v>314</v>
      </c>
      <c r="B87" s="72">
        <f>+A87-C87</f>
        <v>0</v>
      </c>
      <c r="C87" s="57">
        <v>314</v>
      </c>
      <c r="D87" s="58" t="s">
        <v>89</v>
      </c>
      <c r="E87" s="24">
        <v>7920.72</v>
      </c>
      <c r="F87" s="24">
        <f>+VLOOKUP(C87,'[1]Rates Emailed to LEAs 5.27'!$A$10:$H$197,4,FALSE)</f>
        <v>1009.97</v>
      </c>
      <c r="G87" s="24">
        <f>+VLOOKUP(C87,'[1]Rates Emailed to LEAs 5.27'!$A$10:$H$197,8,FALSE)</f>
        <v>1119.42</v>
      </c>
      <c r="H87" s="23">
        <f t="shared" si="29"/>
        <v>3817.69</v>
      </c>
      <c r="I87" s="23">
        <f t="shared" si="30"/>
        <v>4231.41</v>
      </c>
      <c r="J87" s="121">
        <f t="shared" si="35"/>
        <v>26.51</v>
      </c>
      <c r="K87" s="121">
        <f t="shared" si="36"/>
        <v>29.38</v>
      </c>
      <c r="L87" s="24">
        <v>8800</v>
      </c>
      <c r="M87" s="20"/>
      <c r="N87" s="20"/>
      <c r="O87" s="104"/>
      <c r="P87" s="105"/>
      <c r="Q87" s="105"/>
      <c r="R87" s="106"/>
      <c r="S87" s="106"/>
      <c r="T87" s="20" t="s">
        <v>25</v>
      </c>
      <c r="U87" s="20" t="s">
        <v>25</v>
      </c>
      <c r="V87" s="20" t="s">
        <v>25</v>
      </c>
      <c r="W87" s="20" t="s">
        <v>25</v>
      </c>
    </row>
    <row r="88" spans="1:23" x14ac:dyDescent="0.2">
      <c r="A88" s="130">
        <v>316</v>
      </c>
      <c r="B88" s="72">
        <f>+A88-C88</f>
        <v>0</v>
      </c>
      <c r="C88" s="57">
        <v>316</v>
      </c>
      <c r="D88" s="59" t="s">
        <v>88</v>
      </c>
      <c r="E88" s="24">
        <v>9005.7099999999991</v>
      </c>
      <c r="F88" s="24">
        <f>+VLOOKUP(C88,'[1]Rates Emailed to LEAs 5.27'!$A$10:$H$197,4,FALSE)</f>
        <v>1283.73</v>
      </c>
      <c r="G88" s="24">
        <f>+VLOOKUP(C88,'[1]Rates Emailed to LEAs 5.27'!$A$10:$H$197,8,FALSE)</f>
        <v>1466.48</v>
      </c>
      <c r="H88" s="23">
        <f t="shared" si="29"/>
        <v>4852.5</v>
      </c>
      <c r="I88" s="23">
        <f t="shared" si="30"/>
        <v>5543.29</v>
      </c>
      <c r="J88" s="121">
        <f t="shared" si="35"/>
        <v>33.700000000000003</v>
      </c>
      <c r="K88" s="121">
        <f t="shared" si="36"/>
        <v>38.5</v>
      </c>
      <c r="L88" s="24">
        <v>8800</v>
      </c>
      <c r="M88" s="20"/>
      <c r="N88" s="20"/>
      <c r="O88" s="104"/>
      <c r="P88" s="105"/>
      <c r="Q88" s="105"/>
      <c r="R88" s="106"/>
      <c r="S88" s="106"/>
      <c r="T88" s="20" t="s">
        <v>25</v>
      </c>
      <c r="U88" s="20" t="s">
        <v>25</v>
      </c>
      <c r="V88" s="20" t="s">
        <v>25</v>
      </c>
      <c r="W88" s="20" t="s">
        <v>25</v>
      </c>
    </row>
    <row r="89" spans="1:23" x14ac:dyDescent="0.2">
      <c r="A89" s="130">
        <v>321</v>
      </c>
      <c r="B89" s="72">
        <f>+A89-C89</f>
        <v>0</v>
      </c>
      <c r="C89" s="57">
        <v>321</v>
      </c>
      <c r="D89" s="59" t="s">
        <v>87</v>
      </c>
      <c r="E89" s="24">
        <v>5433.34</v>
      </c>
      <c r="F89" s="24">
        <f>+VLOOKUP(C89,'[1]Rates Emailed to LEAs 5.27'!$A$10:$H$197,4,FALSE)</f>
        <v>733.72</v>
      </c>
      <c r="G89" s="24">
        <f>+VLOOKUP(C89,'[1]Rates Emailed to LEAs 5.27'!$A$10:$H$197,8,FALSE)</f>
        <v>817.78</v>
      </c>
      <c r="H89" s="23">
        <f t="shared" si="29"/>
        <v>2773.46</v>
      </c>
      <c r="I89" s="23">
        <f t="shared" si="30"/>
        <v>3091.21</v>
      </c>
      <c r="J89" s="23">
        <f t="shared" si="31"/>
        <v>15.41</v>
      </c>
      <c r="K89" s="23">
        <f t="shared" si="32"/>
        <v>17.170000000000002</v>
      </c>
      <c r="L89" s="131">
        <f t="shared" ref="L89:L90" si="37">$L$8</f>
        <v>8800</v>
      </c>
      <c r="M89" s="20"/>
      <c r="N89" s="20"/>
      <c r="O89" s="104"/>
      <c r="P89" s="105"/>
      <c r="Q89" s="105"/>
      <c r="R89" s="106">
        <v>924</v>
      </c>
      <c r="S89" s="106">
        <v>272</v>
      </c>
      <c r="T89" s="20" t="s">
        <v>25</v>
      </c>
      <c r="U89" s="20" t="s">
        <v>25</v>
      </c>
      <c r="V89" s="20" t="s">
        <v>25</v>
      </c>
      <c r="W89" s="20" t="s">
        <v>25</v>
      </c>
    </row>
    <row r="90" spans="1:23" x14ac:dyDescent="0.2">
      <c r="A90" s="130">
        <v>322</v>
      </c>
      <c r="B90" s="72">
        <f>+A90-C90</f>
        <v>0</v>
      </c>
      <c r="C90" s="57">
        <v>322</v>
      </c>
      <c r="D90" s="58" t="s">
        <v>86</v>
      </c>
      <c r="E90" s="24">
        <v>5967.53</v>
      </c>
      <c r="F90" s="24">
        <f>+VLOOKUP(C90,'[1]Rates Emailed to LEAs 5.27'!$A$10:$H$197,4,FALSE)</f>
        <v>681.92</v>
      </c>
      <c r="G90" s="24">
        <f>+VLOOKUP(C90,'[1]Rates Emailed to LEAs 5.27'!$A$10:$H$197,8,FALSE)</f>
        <v>756.96</v>
      </c>
      <c r="H90" s="23">
        <f t="shared" si="29"/>
        <v>2577.66</v>
      </c>
      <c r="I90" s="23">
        <f t="shared" si="30"/>
        <v>2861.31</v>
      </c>
      <c r="J90" s="23">
        <f t="shared" si="31"/>
        <v>14.32</v>
      </c>
      <c r="K90" s="23">
        <f t="shared" si="32"/>
        <v>15.9</v>
      </c>
      <c r="L90" s="131">
        <f t="shared" si="37"/>
        <v>8800</v>
      </c>
      <c r="M90" s="20"/>
      <c r="N90" s="20"/>
      <c r="O90" s="104"/>
      <c r="P90" s="105"/>
      <c r="Q90" s="105"/>
      <c r="R90" s="106">
        <v>329</v>
      </c>
      <c r="S90" s="106">
        <v>55</v>
      </c>
      <c r="T90" s="20" t="s">
        <v>25</v>
      </c>
      <c r="U90" s="20" t="s">
        <v>25</v>
      </c>
      <c r="V90" s="20" t="s">
        <v>25</v>
      </c>
      <c r="W90" s="20" t="s">
        <v>25</v>
      </c>
    </row>
    <row r="91" spans="1:23" x14ac:dyDescent="0.2">
      <c r="A91" s="130">
        <v>331</v>
      </c>
      <c r="B91" s="72">
        <f>+A91-C91</f>
        <v>0</v>
      </c>
      <c r="C91" s="57">
        <v>331</v>
      </c>
      <c r="D91" s="58" t="s">
        <v>85</v>
      </c>
      <c r="E91" s="24">
        <v>5808.85</v>
      </c>
      <c r="F91" s="24">
        <f>+VLOOKUP(C91,'[1]Rates Emailed to LEAs 5.27'!$A$10:$H$197,4,FALSE)</f>
        <v>660.1</v>
      </c>
      <c r="G91" s="24">
        <f>+VLOOKUP(C91,'[1]Rates Emailed to LEAs 5.27'!$A$10:$H$197,8,FALSE)</f>
        <v>924.13</v>
      </c>
      <c r="H91" s="23">
        <f t="shared" si="29"/>
        <v>2495.1799999999998</v>
      </c>
      <c r="I91" s="23">
        <f t="shared" si="30"/>
        <v>3493.21</v>
      </c>
      <c r="J91" s="121">
        <f>IF(F91="N/A","N/A",ROUND((F91*0.42)/16,2))</f>
        <v>17.329999999999998</v>
      </c>
      <c r="K91" s="121">
        <f>IF(G91="N/A","N/A",ROUND((G91*0.42)/16,2))</f>
        <v>24.26</v>
      </c>
      <c r="L91" s="24">
        <v>8800</v>
      </c>
      <c r="M91" s="20"/>
      <c r="N91" s="20"/>
      <c r="O91" s="104"/>
      <c r="P91" s="105"/>
      <c r="Q91" s="105"/>
      <c r="R91" s="106">
        <v>362</v>
      </c>
      <c r="S91" s="106">
        <v>252</v>
      </c>
      <c r="T91" s="107">
        <v>2</v>
      </c>
      <c r="U91" s="107">
        <v>671.62</v>
      </c>
      <c r="V91" s="107">
        <v>0</v>
      </c>
      <c r="W91" s="107">
        <v>143.80000000000001</v>
      </c>
    </row>
    <row r="92" spans="1:23" x14ac:dyDescent="0.2">
      <c r="A92" s="130">
        <v>340</v>
      </c>
      <c r="B92" s="72">
        <f>+A92-C92</f>
        <v>0</v>
      </c>
      <c r="C92" s="57">
        <v>340</v>
      </c>
      <c r="D92" s="59" t="s">
        <v>84</v>
      </c>
      <c r="E92" s="24">
        <v>5754.73</v>
      </c>
      <c r="F92" s="24">
        <f>+VLOOKUP(C92,'[1]Rates Emailed to LEAs 5.27'!$A$10:$H$197,4,FALSE)</f>
        <v>1030.94</v>
      </c>
      <c r="G92" s="24">
        <f>+VLOOKUP(C92,'[1]Rates Emailed to LEAs 5.27'!$A$10:$H$197,8,FALSE)</f>
        <v>1301.33</v>
      </c>
      <c r="H92" s="23">
        <f t="shared" si="29"/>
        <v>3896.95</v>
      </c>
      <c r="I92" s="23">
        <f t="shared" si="30"/>
        <v>4919.03</v>
      </c>
      <c r="J92" s="23">
        <f t="shared" si="31"/>
        <v>21.65</v>
      </c>
      <c r="K92" s="23">
        <f t="shared" si="32"/>
        <v>27.33</v>
      </c>
      <c r="L92" s="131">
        <f t="shared" ref="L92:L93" si="38">$L$8</f>
        <v>8800</v>
      </c>
      <c r="M92" s="20"/>
      <c r="N92" s="20"/>
      <c r="O92" s="104"/>
      <c r="P92" s="105"/>
      <c r="Q92" s="105"/>
      <c r="R92" s="106">
        <v>527.5</v>
      </c>
      <c r="S92" s="106">
        <v>353.5</v>
      </c>
      <c r="T92" s="107">
        <v>0</v>
      </c>
      <c r="U92" s="107">
        <v>692.02</v>
      </c>
      <c r="V92" s="107">
        <v>0</v>
      </c>
      <c r="W92" s="107">
        <v>33.1</v>
      </c>
    </row>
    <row r="93" spans="1:23" x14ac:dyDescent="0.2">
      <c r="A93" s="130">
        <v>341</v>
      </c>
      <c r="B93" s="72">
        <f>+A93-C93</f>
        <v>0</v>
      </c>
      <c r="C93" s="57">
        <v>341</v>
      </c>
      <c r="D93" s="59" t="s">
        <v>83</v>
      </c>
      <c r="E93" s="24">
        <v>6994.93</v>
      </c>
      <c r="F93" s="24">
        <f>+VLOOKUP(C93,'[1]Rates Emailed to LEAs 5.27'!$A$10:$H$197,4,FALSE)</f>
        <v>1593.97</v>
      </c>
      <c r="G93" s="24">
        <f>+VLOOKUP(C93,'[1]Rates Emailed to LEAs 5.27'!$A$10:$H$197,8,FALSE)</f>
        <v>1612.42</v>
      </c>
      <c r="H93" s="23">
        <f t="shared" si="29"/>
        <v>6025.21</v>
      </c>
      <c r="I93" s="23">
        <f t="shared" si="30"/>
        <v>6094.95</v>
      </c>
      <c r="J93" s="23">
        <f t="shared" si="31"/>
        <v>33.47</v>
      </c>
      <c r="K93" s="23">
        <f t="shared" si="32"/>
        <v>33.86</v>
      </c>
      <c r="L93" s="131">
        <f t="shared" si="38"/>
        <v>8800</v>
      </c>
      <c r="M93" s="20"/>
      <c r="N93" s="20"/>
      <c r="O93" s="104"/>
      <c r="P93" s="105"/>
      <c r="Q93" s="105"/>
      <c r="R93" s="106"/>
      <c r="S93" s="106"/>
      <c r="T93" s="20" t="s">
        <v>25</v>
      </c>
      <c r="U93" s="20" t="s">
        <v>25</v>
      </c>
      <c r="V93" s="20" t="s">
        <v>25</v>
      </c>
      <c r="W93" s="20" t="s">
        <v>25</v>
      </c>
    </row>
    <row r="94" spans="1:23" x14ac:dyDescent="0.2">
      <c r="A94" s="130">
        <v>342</v>
      </c>
      <c r="B94" s="72">
        <f>+A94-C94</f>
        <v>0</v>
      </c>
      <c r="C94" s="57">
        <v>342</v>
      </c>
      <c r="D94" s="59" t="s">
        <v>82</v>
      </c>
      <c r="E94" s="24">
        <v>13204.53</v>
      </c>
      <c r="F94" s="24">
        <f>+VLOOKUP(C94,'[1]Rates Emailed to LEAs 5.27'!$A$10:$H$197,4,FALSE)</f>
        <v>1782.83</v>
      </c>
      <c r="G94" s="24">
        <f>+VLOOKUP(C94,'[1]Rates Emailed to LEAs 5.27'!$A$10:$H$197,8,FALSE)</f>
        <v>2081.38</v>
      </c>
      <c r="H94" s="23">
        <f t="shared" si="29"/>
        <v>6739.1</v>
      </c>
      <c r="I94" s="23">
        <f t="shared" si="30"/>
        <v>7867.62</v>
      </c>
      <c r="J94" s="121">
        <f t="shared" ref="J94:J105" si="39">IF(F94="N/A","N/A",ROUND((F94*0.42)/16,2))</f>
        <v>46.8</v>
      </c>
      <c r="K94" s="121">
        <f t="shared" ref="K94:K105" si="40">IF(G94="N/A","N/A",ROUND((G94*0.42)/16,2))</f>
        <v>54.64</v>
      </c>
      <c r="L94" s="24">
        <v>8800</v>
      </c>
      <c r="M94" s="20"/>
      <c r="N94" s="20"/>
      <c r="O94" s="104"/>
      <c r="P94" s="105"/>
      <c r="Q94" s="105"/>
      <c r="R94" s="106"/>
      <c r="S94" s="106"/>
      <c r="T94" s="20" t="s">
        <v>25</v>
      </c>
      <c r="U94" s="20" t="s">
        <v>25</v>
      </c>
      <c r="V94" s="20" t="s">
        <v>25</v>
      </c>
      <c r="W94" s="20" t="s">
        <v>25</v>
      </c>
    </row>
    <row r="95" spans="1:23" x14ac:dyDescent="0.2">
      <c r="A95" s="130">
        <v>351</v>
      </c>
      <c r="B95" s="72">
        <f>+A95-C95</f>
        <v>0</v>
      </c>
      <c r="C95" s="57">
        <v>351</v>
      </c>
      <c r="D95" s="59" t="s">
        <v>81</v>
      </c>
      <c r="E95" s="24">
        <v>4841.9799999999996</v>
      </c>
      <c r="F95" s="24">
        <f>+VLOOKUP(C95,'[1]Rates Emailed to LEAs 5.27'!$A$10:$H$197,4,FALSE)</f>
        <v>86.35</v>
      </c>
      <c r="G95" s="24">
        <f>+VLOOKUP(C95,'[1]Rates Emailed to LEAs 5.27'!$A$10:$H$197,8,FALSE)</f>
        <v>209.7</v>
      </c>
      <c r="H95" s="23">
        <f t="shared" si="29"/>
        <v>326.39999999999998</v>
      </c>
      <c r="I95" s="23">
        <f t="shared" si="30"/>
        <v>792.67</v>
      </c>
      <c r="J95" s="121">
        <f t="shared" si="39"/>
        <v>2.27</v>
      </c>
      <c r="K95" s="121">
        <f t="shared" si="40"/>
        <v>5.5</v>
      </c>
      <c r="L95" s="24">
        <v>8800</v>
      </c>
      <c r="M95" s="20"/>
      <c r="N95" s="20"/>
      <c r="O95" s="104"/>
      <c r="P95" s="105"/>
      <c r="Q95" s="105"/>
      <c r="R95" s="106"/>
      <c r="S95" s="106"/>
      <c r="T95" s="20" t="s">
        <v>25</v>
      </c>
      <c r="U95" s="20" t="s">
        <v>25</v>
      </c>
      <c r="V95" s="20" t="s">
        <v>25</v>
      </c>
      <c r="W95" s="20" t="s">
        <v>25</v>
      </c>
    </row>
    <row r="96" spans="1:23" x14ac:dyDescent="0.2">
      <c r="A96" s="130">
        <v>363</v>
      </c>
      <c r="B96" s="72">
        <f>+A96-C96</f>
        <v>0</v>
      </c>
      <c r="C96" s="57">
        <v>363</v>
      </c>
      <c r="D96" s="59" t="s">
        <v>80</v>
      </c>
      <c r="E96" s="24">
        <v>6353.22</v>
      </c>
      <c r="F96" s="24">
        <f>+VLOOKUP(C96,'[1]Rates Emailed to LEAs 5.27'!$A$10:$H$197,4,FALSE)</f>
        <v>819.98</v>
      </c>
      <c r="G96" s="24">
        <f>+VLOOKUP(C96,'[1]Rates Emailed to LEAs 5.27'!$A$10:$H$197,8,FALSE)</f>
        <v>1118.19</v>
      </c>
      <c r="H96" s="23">
        <f t="shared" si="29"/>
        <v>3099.52</v>
      </c>
      <c r="I96" s="23">
        <f t="shared" si="30"/>
        <v>4226.76</v>
      </c>
      <c r="J96" s="121">
        <f t="shared" si="39"/>
        <v>21.52</v>
      </c>
      <c r="K96" s="121">
        <f t="shared" si="40"/>
        <v>29.35</v>
      </c>
      <c r="L96" s="24">
        <v>8800</v>
      </c>
      <c r="M96" s="20"/>
      <c r="N96" s="20"/>
      <c r="O96" s="104"/>
      <c r="P96" s="105"/>
      <c r="Q96" s="105"/>
      <c r="R96" s="106">
        <v>138</v>
      </c>
      <c r="S96" s="106">
        <v>499</v>
      </c>
      <c r="T96" s="20" t="s">
        <v>25</v>
      </c>
      <c r="U96" s="20" t="s">
        <v>25</v>
      </c>
      <c r="V96" s="20" t="s">
        <v>25</v>
      </c>
      <c r="W96" s="20" t="s">
        <v>25</v>
      </c>
    </row>
    <row r="97" spans="1:23" x14ac:dyDescent="0.2">
      <c r="A97" s="130">
        <v>364</v>
      </c>
      <c r="B97" s="72">
        <f>+A97-C97</f>
        <v>0</v>
      </c>
      <c r="C97" s="57">
        <v>364</v>
      </c>
      <c r="D97" s="59" t="s">
        <v>79</v>
      </c>
      <c r="E97" s="24">
        <v>16623.46</v>
      </c>
      <c r="F97" s="24">
        <f>+VLOOKUP(C97,'[1]Rates Emailed to LEAs 5.27'!$A$10:$H$197,4,FALSE)</f>
        <v>1583.42</v>
      </c>
      <c r="G97" s="24">
        <f>+VLOOKUP(C97,'[1]Rates Emailed to LEAs 5.27'!$A$10:$H$197,8,FALSE)</f>
        <v>1583.42</v>
      </c>
      <c r="H97" s="23">
        <f t="shared" si="29"/>
        <v>5985.33</v>
      </c>
      <c r="I97" s="23">
        <f t="shared" si="30"/>
        <v>5985.33</v>
      </c>
      <c r="J97" s="121">
        <f t="shared" si="39"/>
        <v>41.56</v>
      </c>
      <c r="K97" s="121">
        <f t="shared" si="40"/>
        <v>41.56</v>
      </c>
      <c r="L97" s="24">
        <v>8800</v>
      </c>
      <c r="M97" s="20"/>
      <c r="N97" s="20"/>
      <c r="O97" s="104"/>
      <c r="P97" s="105"/>
      <c r="Q97" s="108"/>
      <c r="R97" s="106"/>
      <c r="S97" s="106"/>
      <c r="T97" s="20" t="s">
        <v>25</v>
      </c>
      <c r="U97" s="20" t="s">
        <v>25</v>
      </c>
      <c r="V97" s="20" t="s">
        <v>25</v>
      </c>
      <c r="W97" s="20" t="s">
        <v>25</v>
      </c>
    </row>
    <row r="98" spans="1:23" x14ac:dyDescent="0.2">
      <c r="A98" s="130">
        <v>365</v>
      </c>
      <c r="B98" s="72">
        <f>+A98-C98</f>
        <v>0</v>
      </c>
      <c r="C98" s="57">
        <v>365</v>
      </c>
      <c r="D98" s="59" t="s">
        <v>78</v>
      </c>
      <c r="E98" s="24">
        <v>12166.37</v>
      </c>
      <c r="F98" s="24">
        <f>+VLOOKUP(C98,'[1]Rates Emailed to LEAs 5.27'!$A$10:$H$197,4,FALSE)</f>
        <v>1821.12</v>
      </c>
      <c r="G98" s="24">
        <f>+VLOOKUP(C98,'[1]Rates Emailed to LEAs 5.27'!$A$10:$H$197,8,FALSE)</f>
        <v>1606.2</v>
      </c>
      <c r="H98" s="23">
        <f t="shared" si="29"/>
        <v>6883.83</v>
      </c>
      <c r="I98" s="23">
        <f t="shared" si="30"/>
        <v>6071.44</v>
      </c>
      <c r="J98" s="121">
        <f t="shared" si="39"/>
        <v>47.8</v>
      </c>
      <c r="K98" s="121">
        <f t="shared" si="40"/>
        <v>42.16</v>
      </c>
      <c r="L98" s="24">
        <v>8800</v>
      </c>
      <c r="M98" s="20"/>
      <c r="N98" s="20"/>
      <c r="O98" s="104"/>
      <c r="P98" s="105"/>
      <c r="Q98" s="105"/>
      <c r="R98" s="106"/>
      <c r="S98" s="106"/>
      <c r="T98" s="20" t="s">
        <v>25</v>
      </c>
      <c r="U98" s="20" t="s">
        <v>25</v>
      </c>
      <c r="V98" s="20" t="s">
        <v>25</v>
      </c>
      <c r="W98" s="20" t="s">
        <v>25</v>
      </c>
    </row>
    <row r="99" spans="1:23" x14ac:dyDescent="0.2">
      <c r="A99" s="130">
        <v>370</v>
      </c>
      <c r="B99" s="72">
        <f>+A99-C99</f>
        <v>0</v>
      </c>
      <c r="C99" s="57">
        <v>370</v>
      </c>
      <c r="D99" s="59" t="s">
        <v>77</v>
      </c>
      <c r="E99" s="24">
        <v>5909.48</v>
      </c>
      <c r="F99" s="24">
        <f>+VLOOKUP(C99,'[1]Rates Emailed to LEAs 5.27'!$A$10:$H$197,4,FALSE)</f>
        <v>690.92</v>
      </c>
      <c r="G99" s="24">
        <f>+VLOOKUP(C99,'[1]Rates Emailed to LEAs 5.27'!$A$10:$H$197,8,FALSE)</f>
        <v>831.55</v>
      </c>
      <c r="H99" s="23">
        <f t="shared" si="29"/>
        <v>2611.6799999999998</v>
      </c>
      <c r="I99" s="23">
        <f t="shared" si="30"/>
        <v>3143.26</v>
      </c>
      <c r="J99" s="121">
        <f t="shared" si="39"/>
        <v>18.14</v>
      </c>
      <c r="K99" s="121">
        <f t="shared" si="40"/>
        <v>21.83</v>
      </c>
      <c r="L99" s="24">
        <v>8800</v>
      </c>
      <c r="M99" s="20"/>
      <c r="N99" s="20"/>
      <c r="O99" s="104"/>
      <c r="P99" s="105"/>
      <c r="Q99" s="105"/>
      <c r="R99" s="106">
        <v>555.5</v>
      </c>
      <c r="S99" s="106">
        <v>136</v>
      </c>
      <c r="T99" s="20" t="s">
        <v>25</v>
      </c>
      <c r="U99" s="20" t="s">
        <v>25</v>
      </c>
      <c r="V99" s="20" t="s">
        <v>25</v>
      </c>
      <c r="W99" s="20" t="s">
        <v>25</v>
      </c>
    </row>
    <row r="100" spans="1:23" x14ac:dyDescent="0.2">
      <c r="A100" s="130">
        <v>371</v>
      </c>
      <c r="B100" s="72">
        <f>+A100-C100</f>
        <v>0</v>
      </c>
      <c r="C100" s="57">
        <v>371</v>
      </c>
      <c r="D100" s="59" t="s">
        <v>76</v>
      </c>
      <c r="E100" s="24">
        <v>6048.28</v>
      </c>
      <c r="F100" s="24">
        <f>+VLOOKUP(C100,'[1]Rates Emailed to LEAs 5.27'!$A$10:$H$197,4,FALSE)</f>
        <v>793.09</v>
      </c>
      <c r="G100" s="24">
        <f>+VLOOKUP(C100,'[1]Rates Emailed to LEAs 5.27'!$A$10:$H$197,8,FALSE)</f>
        <v>851.11</v>
      </c>
      <c r="H100" s="23">
        <f t="shared" si="29"/>
        <v>2997.88</v>
      </c>
      <c r="I100" s="23">
        <f t="shared" si="30"/>
        <v>3217.2</v>
      </c>
      <c r="J100" s="121">
        <f t="shared" si="39"/>
        <v>20.82</v>
      </c>
      <c r="K100" s="121">
        <f t="shared" si="40"/>
        <v>22.34</v>
      </c>
      <c r="L100" s="24">
        <v>8800</v>
      </c>
      <c r="M100" s="20"/>
      <c r="N100" s="20"/>
      <c r="O100" s="104"/>
      <c r="P100" s="105"/>
      <c r="Q100" s="105"/>
      <c r="R100" s="106">
        <v>475</v>
      </c>
      <c r="S100" s="106">
        <v>48</v>
      </c>
      <c r="T100" s="20" t="s">
        <v>25</v>
      </c>
      <c r="U100" s="20" t="s">
        <v>25</v>
      </c>
      <c r="V100" s="20" t="s">
        <v>25</v>
      </c>
      <c r="W100" s="20" t="s">
        <v>25</v>
      </c>
    </row>
    <row r="101" spans="1:23" x14ac:dyDescent="0.2">
      <c r="A101" s="130">
        <v>372</v>
      </c>
      <c r="B101" s="72">
        <f>+A101-C101</f>
        <v>0</v>
      </c>
      <c r="C101" s="57">
        <v>372</v>
      </c>
      <c r="D101" s="59" t="s">
        <v>75</v>
      </c>
      <c r="E101" s="24">
        <v>6230.76</v>
      </c>
      <c r="F101" s="24">
        <f>+VLOOKUP(C101,'[1]Rates Emailed to LEAs 5.27'!$A$10:$H$197,4,FALSE)</f>
        <v>831.67</v>
      </c>
      <c r="G101" s="24">
        <f>+VLOOKUP(C101,'[1]Rates Emailed to LEAs 5.27'!$A$10:$H$197,8,FALSE)</f>
        <v>938.63</v>
      </c>
      <c r="H101" s="23">
        <f t="shared" si="29"/>
        <v>3143.71</v>
      </c>
      <c r="I101" s="23">
        <f t="shared" si="30"/>
        <v>3548.02</v>
      </c>
      <c r="J101" s="121">
        <f t="shared" si="39"/>
        <v>21.83</v>
      </c>
      <c r="K101" s="121">
        <f t="shared" si="40"/>
        <v>24.64</v>
      </c>
      <c r="L101" s="24">
        <v>8800</v>
      </c>
      <c r="M101" s="20"/>
      <c r="N101" s="20"/>
      <c r="O101" s="104"/>
      <c r="P101" s="105"/>
      <c r="Q101" s="105"/>
      <c r="R101" s="106"/>
      <c r="S101" s="106"/>
      <c r="T101" s="20" t="s">
        <v>25</v>
      </c>
      <c r="U101" s="20" t="s">
        <v>25</v>
      </c>
      <c r="V101" s="20" t="s">
        <v>25</v>
      </c>
      <c r="W101" s="20" t="s">
        <v>25</v>
      </c>
    </row>
    <row r="102" spans="1:23" x14ac:dyDescent="0.2">
      <c r="A102" s="130">
        <v>373</v>
      </c>
      <c r="B102" s="72">
        <f>+A102-C102</f>
        <v>0</v>
      </c>
      <c r="C102" s="57">
        <v>373</v>
      </c>
      <c r="D102" s="58" t="s">
        <v>74</v>
      </c>
      <c r="E102" s="24">
        <v>5968.15</v>
      </c>
      <c r="F102" s="24">
        <f>+VLOOKUP(C102,'[1]Rates Emailed to LEAs 5.27'!$A$10:$H$197,4,FALSE)</f>
        <v>663.58</v>
      </c>
      <c r="G102" s="24">
        <f>+VLOOKUP(C102,'[1]Rates Emailed to LEAs 5.27'!$A$10:$H$197,8,FALSE)</f>
        <v>740.29</v>
      </c>
      <c r="H102" s="23">
        <f t="shared" si="29"/>
        <v>2508.33</v>
      </c>
      <c r="I102" s="23">
        <f t="shared" si="30"/>
        <v>2798.3</v>
      </c>
      <c r="J102" s="121">
        <f t="shared" si="39"/>
        <v>17.420000000000002</v>
      </c>
      <c r="K102" s="121">
        <f t="shared" si="40"/>
        <v>19.43</v>
      </c>
      <c r="L102" s="24">
        <v>8800</v>
      </c>
      <c r="M102" s="20"/>
      <c r="N102" s="20"/>
      <c r="O102" s="104"/>
      <c r="P102" s="105"/>
      <c r="Q102" s="105"/>
      <c r="R102" s="106">
        <v>184</v>
      </c>
      <c r="S102" s="106">
        <v>28</v>
      </c>
      <c r="T102" s="20" t="s">
        <v>25</v>
      </c>
      <c r="U102" s="20" t="s">
        <v>25</v>
      </c>
      <c r="V102" s="20" t="s">
        <v>25</v>
      </c>
      <c r="W102" s="20" t="s">
        <v>25</v>
      </c>
    </row>
    <row r="103" spans="1:23" x14ac:dyDescent="0.2">
      <c r="A103" s="130">
        <v>381</v>
      </c>
      <c r="B103" s="72">
        <f>+A103-C103</f>
        <v>0</v>
      </c>
      <c r="C103" s="57">
        <v>381</v>
      </c>
      <c r="D103" s="59" t="s">
        <v>73</v>
      </c>
      <c r="E103" s="24">
        <v>6132.4</v>
      </c>
      <c r="F103" s="24">
        <f>+VLOOKUP(C103,'[1]Rates Emailed to LEAs 5.27'!$A$10:$H$197,4,FALSE)</f>
        <v>959.41</v>
      </c>
      <c r="G103" s="24">
        <f>+VLOOKUP(C103,'[1]Rates Emailed to LEAs 5.27'!$A$10:$H$197,8,FALSE)</f>
        <v>1015.44</v>
      </c>
      <c r="H103" s="23">
        <f t="shared" si="29"/>
        <v>3626.57</v>
      </c>
      <c r="I103" s="23">
        <f t="shared" si="30"/>
        <v>3838.36</v>
      </c>
      <c r="J103" s="121">
        <f t="shared" si="39"/>
        <v>25.18</v>
      </c>
      <c r="K103" s="121">
        <f t="shared" si="40"/>
        <v>26.66</v>
      </c>
      <c r="L103" s="24">
        <v>8800</v>
      </c>
      <c r="M103" s="20"/>
      <c r="N103" s="20"/>
      <c r="O103" s="104"/>
      <c r="P103" s="105"/>
      <c r="Q103" s="105"/>
      <c r="R103" s="106"/>
      <c r="S103" s="106">
        <v>66</v>
      </c>
      <c r="T103" s="20" t="s">
        <v>25</v>
      </c>
      <c r="U103" s="20" t="s">
        <v>25</v>
      </c>
      <c r="V103" s="20" t="s">
        <v>25</v>
      </c>
      <c r="W103" s="20" t="s">
        <v>25</v>
      </c>
    </row>
    <row r="104" spans="1:23" x14ac:dyDescent="0.2">
      <c r="A104" s="130">
        <v>382</v>
      </c>
      <c r="B104" s="72">
        <f>+A104-C104</f>
        <v>0</v>
      </c>
      <c r="C104" s="57">
        <v>382</v>
      </c>
      <c r="D104" s="58" t="s">
        <v>72</v>
      </c>
      <c r="E104" s="24">
        <v>9627.44</v>
      </c>
      <c r="F104" s="24">
        <f>+VLOOKUP(C104,'[1]Rates Emailed to LEAs 5.27'!$A$10:$H$197,4,FALSE)</f>
        <v>1072.17</v>
      </c>
      <c r="G104" s="24">
        <f>+VLOOKUP(C104,'[1]Rates Emailed to LEAs 5.27'!$A$10:$H$197,8,FALSE)</f>
        <v>1216.5999999999999</v>
      </c>
      <c r="H104" s="23">
        <f t="shared" si="29"/>
        <v>4052.8</v>
      </c>
      <c r="I104" s="23">
        <f t="shared" si="30"/>
        <v>4598.75</v>
      </c>
      <c r="J104" s="121">
        <f t="shared" si="39"/>
        <v>28.14</v>
      </c>
      <c r="K104" s="121">
        <f t="shared" si="40"/>
        <v>31.94</v>
      </c>
      <c r="L104" s="24">
        <v>8800</v>
      </c>
      <c r="M104" s="20"/>
      <c r="N104" s="20"/>
      <c r="O104" s="104"/>
      <c r="P104" s="105"/>
      <c r="Q104" s="105"/>
      <c r="R104" s="106"/>
      <c r="S104" s="106"/>
      <c r="T104" s="20" t="s">
        <v>25</v>
      </c>
      <c r="U104" s="20" t="s">
        <v>25</v>
      </c>
      <c r="V104" s="20" t="s">
        <v>25</v>
      </c>
      <c r="W104" s="20" t="s">
        <v>25</v>
      </c>
    </row>
    <row r="105" spans="1:23" x14ac:dyDescent="0.2">
      <c r="A105" s="130">
        <v>383</v>
      </c>
      <c r="B105" s="72">
        <f>+A105-C105</f>
        <v>0</v>
      </c>
      <c r="C105" s="57">
        <v>383</v>
      </c>
      <c r="D105" s="60" t="s">
        <v>71</v>
      </c>
      <c r="E105" s="24">
        <v>10787.18</v>
      </c>
      <c r="F105" s="24">
        <f>+VLOOKUP(C105,'[1]Rates Emailed to LEAs 5.27'!$A$10:$H$197,4,FALSE)</f>
        <v>1748.95</v>
      </c>
      <c r="G105" s="24">
        <f>+VLOOKUP(C105,'[1]Rates Emailed to LEAs 5.27'!$A$10:$H$197,8,FALSE)</f>
        <v>1748.95</v>
      </c>
      <c r="H105" s="23">
        <f t="shared" si="29"/>
        <v>6611.03</v>
      </c>
      <c r="I105" s="23">
        <f t="shared" si="30"/>
        <v>6611.03</v>
      </c>
      <c r="J105" s="121">
        <f t="shared" si="39"/>
        <v>45.91</v>
      </c>
      <c r="K105" s="121">
        <f t="shared" si="40"/>
        <v>45.91</v>
      </c>
      <c r="L105" s="24">
        <v>8800</v>
      </c>
      <c r="M105" s="20"/>
      <c r="N105" s="20"/>
      <c r="O105" s="104"/>
      <c r="P105" s="105"/>
      <c r="Q105" s="105"/>
      <c r="R105" s="106"/>
      <c r="S105" s="106"/>
      <c r="T105" s="20" t="s">
        <v>25</v>
      </c>
      <c r="U105" s="20" t="s">
        <v>25</v>
      </c>
      <c r="V105" s="20" t="s">
        <v>25</v>
      </c>
      <c r="W105" s="20" t="s">
        <v>25</v>
      </c>
    </row>
    <row r="106" spans="1:23" x14ac:dyDescent="0.2">
      <c r="A106" s="130">
        <v>391</v>
      </c>
      <c r="B106" s="72">
        <f>+A106-C106</f>
        <v>0</v>
      </c>
      <c r="C106" s="57">
        <v>391</v>
      </c>
      <c r="D106" s="59" t="s">
        <v>190</v>
      </c>
      <c r="E106" s="24">
        <v>6004.25</v>
      </c>
      <c r="F106" s="24">
        <f>+VLOOKUP(C106,'[1]Rates Emailed to LEAs 5.27'!$A$10:$H$197,4,FALSE)</f>
        <v>1042.1099999999999</v>
      </c>
      <c r="G106" s="24">
        <f>+VLOOKUP(C106,'[1]Rates Emailed to LEAs 5.27'!$A$10:$H$197,8,FALSE)</f>
        <v>1322.57</v>
      </c>
      <c r="H106" s="23">
        <f t="shared" si="29"/>
        <v>3939.18</v>
      </c>
      <c r="I106" s="23">
        <f t="shared" si="30"/>
        <v>4999.3100000000004</v>
      </c>
      <c r="J106" s="23">
        <f t="shared" si="31"/>
        <v>21.88</v>
      </c>
      <c r="K106" s="23">
        <f t="shared" si="32"/>
        <v>27.77</v>
      </c>
      <c r="L106" s="131">
        <f t="shared" ref="L106:L108" si="41">$L$8</f>
        <v>8800</v>
      </c>
      <c r="M106" s="20"/>
      <c r="N106" s="20"/>
      <c r="O106" s="104"/>
      <c r="P106" s="105"/>
      <c r="Q106" s="105"/>
      <c r="R106" s="106">
        <v>857.5</v>
      </c>
      <c r="S106" s="106">
        <v>285.5</v>
      </c>
      <c r="T106" s="20" t="s">
        <v>25</v>
      </c>
      <c r="U106" s="20" t="s">
        <v>25</v>
      </c>
      <c r="V106" s="20" t="s">
        <v>25</v>
      </c>
      <c r="W106" s="20" t="s">
        <v>25</v>
      </c>
    </row>
    <row r="107" spans="1:23" x14ac:dyDescent="0.2">
      <c r="A107" s="130">
        <v>392</v>
      </c>
      <c r="B107" s="72">
        <f>+A107-C107</f>
        <v>0</v>
      </c>
      <c r="C107" s="57">
        <v>392</v>
      </c>
      <c r="D107" s="60" t="s">
        <v>70</v>
      </c>
      <c r="E107" s="24">
        <v>14078.04</v>
      </c>
      <c r="F107" s="24">
        <f>+VLOOKUP(C107,'[1]Rates Emailed to LEAs 5.27'!$A$10:$H$197,4,FALSE)</f>
        <v>2363.02</v>
      </c>
      <c r="G107" s="24">
        <f>+VLOOKUP(C107,'[1]Rates Emailed to LEAs 5.27'!$A$10:$H$197,8,FALSE)</f>
        <v>2758.7</v>
      </c>
      <c r="H107" s="23">
        <f t="shared" si="29"/>
        <v>8932.2199999999993</v>
      </c>
      <c r="I107" s="23">
        <f t="shared" si="30"/>
        <v>10427.89</v>
      </c>
      <c r="J107" s="23">
        <f t="shared" si="31"/>
        <v>49.62</v>
      </c>
      <c r="K107" s="23">
        <f t="shared" si="32"/>
        <v>57.93</v>
      </c>
      <c r="L107" s="131">
        <f t="shared" si="41"/>
        <v>8800</v>
      </c>
      <c r="M107" s="20"/>
      <c r="N107" s="20"/>
      <c r="O107" s="104"/>
      <c r="P107" s="105"/>
      <c r="Q107" s="105"/>
      <c r="R107" s="106"/>
      <c r="S107" s="106"/>
      <c r="T107" s="20" t="s">
        <v>25</v>
      </c>
      <c r="U107" s="20" t="s">
        <v>25</v>
      </c>
      <c r="V107" s="20" t="s">
        <v>25</v>
      </c>
      <c r="W107" s="20" t="s">
        <v>25</v>
      </c>
    </row>
    <row r="108" spans="1:23" x14ac:dyDescent="0.2">
      <c r="A108" s="130">
        <v>393</v>
      </c>
      <c r="B108" s="72">
        <f>+A108-C108</f>
        <v>0</v>
      </c>
      <c r="C108" s="57">
        <v>393</v>
      </c>
      <c r="D108" s="58" t="s">
        <v>69</v>
      </c>
      <c r="E108" s="24">
        <v>6974.07</v>
      </c>
      <c r="F108" s="24">
        <f>+VLOOKUP(C108,'[1]Rates Emailed to LEAs 5.27'!$A$10:$H$197,4,FALSE)</f>
        <v>1188.07</v>
      </c>
      <c r="G108" s="24">
        <f>+VLOOKUP(C108,'[1]Rates Emailed to LEAs 5.27'!$A$10:$H$197,8,FALSE)</f>
        <v>1378.74</v>
      </c>
      <c r="H108" s="23">
        <f t="shared" si="29"/>
        <v>4490.8999999999996</v>
      </c>
      <c r="I108" s="23">
        <f t="shared" si="30"/>
        <v>5211.6400000000003</v>
      </c>
      <c r="J108" s="23">
        <f t="shared" si="31"/>
        <v>24.95</v>
      </c>
      <c r="K108" s="23">
        <f t="shared" si="32"/>
        <v>28.95</v>
      </c>
      <c r="L108" s="131">
        <f t="shared" si="41"/>
        <v>8800</v>
      </c>
      <c r="M108" s="20"/>
      <c r="N108" s="20"/>
      <c r="O108" s="104"/>
      <c r="P108" s="105"/>
      <c r="Q108" s="105"/>
      <c r="R108" s="106"/>
      <c r="S108" s="106">
        <v>83</v>
      </c>
      <c r="T108" s="20" t="s">
        <v>25</v>
      </c>
      <c r="U108" s="20" t="s">
        <v>25</v>
      </c>
      <c r="V108" s="20" t="s">
        <v>25</v>
      </c>
      <c r="W108" s="20" t="s">
        <v>25</v>
      </c>
    </row>
    <row r="109" spans="1:23" x14ac:dyDescent="0.2">
      <c r="A109" s="130">
        <v>394</v>
      </c>
      <c r="B109" s="72">
        <f>+A109-C109</f>
        <v>0</v>
      </c>
      <c r="C109" s="57">
        <v>394</v>
      </c>
      <c r="D109" s="60" t="s">
        <v>68</v>
      </c>
      <c r="E109" s="24">
        <v>11150.98</v>
      </c>
      <c r="F109" s="24">
        <f>+VLOOKUP(C109,'[1]Rates Emailed to LEAs 5.27'!$A$10:$H$197,4,FALSE)</f>
        <v>2771.27</v>
      </c>
      <c r="G109" s="24">
        <f>+VLOOKUP(C109,'[1]Rates Emailed to LEAs 5.27'!$A$10:$H$197,8,FALSE)</f>
        <v>2771.27</v>
      </c>
      <c r="H109" s="23">
        <f t="shared" si="29"/>
        <v>10475.4</v>
      </c>
      <c r="I109" s="23">
        <f t="shared" si="30"/>
        <v>10475.4</v>
      </c>
      <c r="J109" s="121">
        <f>IF(F109="N/A","N/A",ROUND((F109*0.42)/16,2))</f>
        <v>72.75</v>
      </c>
      <c r="K109" s="121">
        <f>IF(G109="N/A","N/A",ROUND((G109*0.42)/16,2))</f>
        <v>72.75</v>
      </c>
      <c r="L109" s="24">
        <v>8800</v>
      </c>
      <c r="M109" s="20"/>
      <c r="N109" s="20"/>
      <c r="O109" s="104"/>
      <c r="P109" s="105"/>
      <c r="Q109" s="105"/>
      <c r="R109" s="106"/>
      <c r="S109" s="106"/>
      <c r="T109" s="20" t="s">
        <v>25</v>
      </c>
      <c r="U109" s="20" t="s">
        <v>25</v>
      </c>
      <c r="V109" s="20" t="s">
        <v>25</v>
      </c>
      <c r="W109" s="20" t="s">
        <v>25</v>
      </c>
    </row>
    <row r="110" spans="1:23" x14ac:dyDescent="0.2">
      <c r="A110" s="130">
        <v>401</v>
      </c>
      <c r="B110" s="72">
        <f>+A110-C110</f>
        <v>0</v>
      </c>
      <c r="C110" s="57">
        <v>401</v>
      </c>
      <c r="D110" s="60" t="s">
        <v>67</v>
      </c>
      <c r="E110" s="24">
        <v>5885.95</v>
      </c>
      <c r="F110" s="24">
        <f>+VLOOKUP(C110,'[1]Rates Emailed to LEAs 5.27'!$A$10:$H$197,4,FALSE)</f>
        <v>1175.75</v>
      </c>
      <c r="G110" s="24">
        <f>+VLOOKUP(C110,'[1]Rates Emailed to LEAs 5.27'!$A$10:$H$197,8,FALSE)</f>
        <v>1158.3499999999999</v>
      </c>
      <c r="H110" s="23">
        <f t="shared" si="29"/>
        <v>4444.34</v>
      </c>
      <c r="I110" s="23">
        <f t="shared" si="30"/>
        <v>4378.5600000000004</v>
      </c>
      <c r="J110" s="23">
        <f t="shared" si="31"/>
        <v>24.69</v>
      </c>
      <c r="K110" s="23">
        <f t="shared" si="32"/>
        <v>24.33</v>
      </c>
      <c r="L110" s="131">
        <f t="shared" ref="L110:L114" si="42">$L$8</f>
        <v>8800</v>
      </c>
      <c r="M110" s="20"/>
      <c r="N110" s="20"/>
      <c r="O110" s="104"/>
      <c r="P110" s="105"/>
      <c r="Q110" s="105"/>
      <c r="R110" s="106">
        <v>28</v>
      </c>
      <c r="S110" s="106">
        <v>183.8</v>
      </c>
      <c r="T110" s="20" t="s">
        <v>25</v>
      </c>
      <c r="U110" s="20" t="s">
        <v>25</v>
      </c>
      <c r="V110" s="20" t="s">
        <v>25</v>
      </c>
      <c r="W110" s="20" t="s">
        <v>25</v>
      </c>
    </row>
    <row r="111" spans="1:23" x14ac:dyDescent="0.2">
      <c r="A111" s="130">
        <v>411</v>
      </c>
      <c r="B111" s="72">
        <f>+A111-C111</f>
        <v>0</v>
      </c>
      <c r="C111" s="57">
        <v>411</v>
      </c>
      <c r="D111" s="59" t="s">
        <v>66</v>
      </c>
      <c r="E111" s="24">
        <v>5768.98</v>
      </c>
      <c r="F111" s="24">
        <f>+VLOOKUP(C111,'[1]Rates Emailed to LEAs 5.27'!$A$10:$H$197,4,FALSE)</f>
        <v>837.12</v>
      </c>
      <c r="G111" s="24">
        <f>+VLOOKUP(C111,'[1]Rates Emailed to LEAs 5.27'!$A$10:$H$197,8,FALSE)</f>
        <v>973.09</v>
      </c>
      <c r="H111" s="23">
        <f t="shared" si="29"/>
        <v>3164.31</v>
      </c>
      <c r="I111" s="23">
        <f t="shared" si="30"/>
        <v>3678.28</v>
      </c>
      <c r="J111" s="23">
        <f t="shared" si="31"/>
        <v>17.579999999999998</v>
      </c>
      <c r="K111" s="23">
        <f t="shared" si="32"/>
        <v>20.43</v>
      </c>
      <c r="L111" s="131">
        <f t="shared" si="42"/>
        <v>8800</v>
      </c>
      <c r="M111" s="20"/>
      <c r="N111" s="20"/>
      <c r="O111" s="104"/>
      <c r="P111" s="105"/>
      <c r="Q111" s="105"/>
      <c r="R111" s="106">
        <v>2627.5</v>
      </c>
      <c r="S111" s="106">
        <v>2718.5</v>
      </c>
      <c r="T111" s="107">
        <v>17.149999999999999</v>
      </c>
      <c r="U111" s="107">
        <v>860.14</v>
      </c>
      <c r="V111" s="107">
        <v>0</v>
      </c>
      <c r="W111" s="107">
        <v>68.8</v>
      </c>
    </row>
    <row r="112" spans="1:23" x14ac:dyDescent="0.2">
      <c r="A112" s="130">
        <v>412</v>
      </c>
      <c r="B112" s="72">
        <f>+A112-C112</f>
        <v>0</v>
      </c>
      <c r="C112" s="57">
        <v>412</v>
      </c>
      <c r="D112" s="59" t="s">
        <v>65</v>
      </c>
      <c r="E112" s="24">
        <v>5990.71</v>
      </c>
      <c r="F112" s="24">
        <f>+VLOOKUP(C112,'[1]Rates Emailed to LEAs 5.27'!$A$10:$H$197,4,FALSE)</f>
        <v>651.13</v>
      </c>
      <c r="G112" s="24">
        <f>+VLOOKUP(C112,'[1]Rates Emailed to LEAs 5.27'!$A$10:$H$197,8,FALSE)</f>
        <v>1052.0999999999999</v>
      </c>
      <c r="H112" s="23">
        <f t="shared" si="29"/>
        <v>2461.27</v>
      </c>
      <c r="I112" s="23">
        <f t="shared" si="30"/>
        <v>3976.94</v>
      </c>
      <c r="J112" s="23">
        <f t="shared" si="31"/>
        <v>13.67</v>
      </c>
      <c r="K112" s="23">
        <f t="shared" si="32"/>
        <v>22.09</v>
      </c>
      <c r="L112" s="131">
        <f t="shared" si="42"/>
        <v>8800</v>
      </c>
      <c r="M112" s="20"/>
      <c r="N112" s="20"/>
      <c r="O112" s="104"/>
      <c r="P112" s="105"/>
      <c r="Q112" s="105"/>
      <c r="R112" s="106">
        <v>322</v>
      </c>
      <c r="S112" s="106">
        <v>194.5</v>
      </c>
      <c r="T112" s="20" t="s">
        <v>25</v>
      </c>
      <c r="U112" s="20" t="s">
        <v>25</v>
      </c>
      <c r="V112" s="20" t="s">
        <v>25</v>
      </c>
      <c r="W112" s="20" t="s">
        <v>25</v>
      </c>
    </row>
    <row r="113" spans="1:23" x14ac:dyDescent="0.2">
      <c r="A113" s="130">
        <v>413</v>
      </c>
      <c r="B113" s="72">
        <f>+A113-C113</f>
        <v>0</v>
      </c>
      <c r="C113" s="57">
        <v>413</v>
      </c>
      <c r="D113" s="59" t="s">
        <v>64</v>
      </c>
      <c r="E113" s="24">
        <v>5911.85</v>
      </c>
      <c r="F113" s="24">
        <f>+VLOOKUP(C113,'[1]Rates Emailed to LEAs 5.27'!$A$10:$H$197,4,FALSE)</f>
        <v>832.03</v>
      </c>
      <c r="G113" s="24">
        <f>+VLOOKUP(C113,'[1]Rates Emailed to LEAs 5.27'!$A$10:$H$197,8,FALSE)</f>
        <v>854.61</v>
      </c>
      <c r="H113" s="23">
        <f t="shared" si="29"/>
        <v>3145.07</v>
      </c>
      <c r="I113" s="23">
        <f t="shared" si="30"/>
        <v>3230.43</v>
      </c>
      <c r="J113" s="23">
        <f t="shared" si="31"/>
        <v>17.47</v>
      </c>
      <c r="K113" s="23">
        <f t="shared" si="32"/>
        <v>17.95</v>
      </c>
      <c r="L113" s="131">
        <f t="shared" si="42"/>
        <v>8800</v>
      </c>
      <c r="M113" s="20"/>
      <c r="N113" s="20"/>
      <c r="O113" s="104"/>
      <c r="P113" s="105"/>
      <c r="Q113" s="105"/>
      <c r="R113" s="106">
        <v>54</v>
      </c>
      <c r="S113" s="106">
        <v>347</v>
      </c>
      <c r="T113" s="20" t="s">
        <v>25</v>
      </c>
      <c r="U113" s="20" t="s">
        <v>25</v>
      </c>
      <c r="V113" s="20" t="s">
        <v>25</v>
      </c>
      <c r="W113" s="20" t="s">
        <v>25</v>
      </c>
    </row>
    <row r="114" spans="1:23" x14ac:dyDescent="0.2">
      <c r="A114" s="130">
        <v>414</v>
      </c>
      <c r="B114" s="72">
        <f>+A114-C114</f>
        <v>0</v>
      </c>
      <c r="C114" s="57">
        <v>414</v>
      </c>
      <c r="D114" s="59" t="s">
        <v>63</v>
      </c>
      <c r="E114" s="24">
        <v>5705.78</v>
      </c>
      <c r="F114" s="24">
        <f>+VLOOKUP(C114,'[1]Rates Emailed to LEAs 5.27'!$A$10:$H$197,4,FALSE)</f>
        <v>761.4</v>
      </c>
      <c r="G114" s="24">
        <f>+VLOOKUP(C114,'[1]Rates Emailed to LEAs 5.27'!$A$10:$H$197,8,FALSE)</f>
        <v>852.22</v>
      </c>
      <c r="H114" s="23">
        <f t="shared" si="29"/>
        <v>2878.09</v>
      </c>
      <c r="I114" s="23">
        <f t="shared" si="30"/>
        <v>3221.39</v>
      </c>
      <c r="J114" s="23">
        <f t="shared" si="31"/>
        <v>15.99</v>
      </c>
      <c r="K114" s="23">
        <f t="shared" si="32"/>
        <v>17.899999999999999</v>
      </c>
      <c r="L114" s="131">
        <f t="shared" si="42"/>
        <v>8800</v>
      </c>
      <c r="M114" s="20"/>
      <c r="N114" s="20"/>
      <c r="O114" s="104"/>
      <c r="P114" s="105"/>
      <c r="Q114" s="105"/>
      <c r="R114" s="106">
        <v>489</v>
      </c>
      <c r="S114" s="106">
        <v>6</v>
      </c>
      <c r="T114" s="20" t="s">
        <v>25</v>
      </c>
      <c r="U114" s="20" t="s">
        <v>25</v>
      </c>
      <c r="V114" s="20" t="s">
        <v>25</v>
      </c>
      <c r="W114" s="20" t="s">
        <v>25</v>
      </c>
    </row>
    <row r="115" spans="1:23" x14ac:dyDescent="0.2">
      <c r="A115" s="130">
        <v>415</v>
      </c>
      <c r="B115" s="72">
        <f>+A115-C115</f>
        <v>0</v>
      </c>
      <c r="C115" s="57">
        <v>415</v>
      </c>
      <c r="D115" s="59" t="s">
        <v>62</v>
      </c>
      <c r="E115" s="24">
        <v>7618.06</v>
      </c>
      <c r="F115" s="24">
        <f>+VLOOKUP(C115,'[1]Rates Emailed to LEAs 5.27'!$A$10:$H$197,4,FALSE)</f>
        <v>1060.06</v>
      </c>
      <c r="G115" s="24">
        <f>+VLOOKUP(C115,'[1]Rates Emailed to LEAs 5.27'!$A$10:$H$197,8,FALSE)</f>
        <v>1045.95</v>
      </c>
      <c r="H115" s="23">
        <f t="shared" si="29"/>
        <v>4007.03</v>
      </c>
      <c r="I115" s="23">
        <f t="shared" si="30"/>
        <v>3953.69</v>
      </c>
      <c r="J115" s="121">
        <f t="shared" ref="J115:J117" si="43">IF(F115="N/A","N/A",ROUND((F115*0.42)/16,2))</f>
        <v>27.83</v>
      </c>
      <c r="K115" s="121">
        <f t="shared" ref="K115:K117" si="44">IF(G115="N/A","N/A",ROUND((G115*0.42)/16,2))</f>
        <v>27.46</v>
      </c>
      <c r="L115" s="24">
        <v>8800</v>
      </c>
      <c r="M115" s="20"/>
      <c r="N115" s="20"/>
      <c r="O115" s="104"/>
      <c r="P115" s="105"/>
      <c r="Q115" s="105"/>
      <c r="R115" s="106"/>
      <c r="S115" s="106"/>
      <c r="T115" s="20" t="s">
        <v>25</v>
      </c>
      <c r="U115" s="20" t="s">
        <v>25</v>
      </c>
      <c r="V115" s="20" t="s">
        <v>25</v>
      </c>
      <c r="W115" s="20" t="s">
        <v>25</v>
      </c>
    </row>
    <row r="116" spans="1:23" x14ac:dyDescent="0.2">
      <c r="A116" s="130">
        <v>416</v>
      </c>
      <c r="B116" s="72">
        <f>+A116-C116</f>
        <v>0</v>
      </c>
      <c r="C116" s="57">
        <v>416</v>
      </c>
      <c r="D116" s="59" t="s">
        <v>61</v>
      </c>
      <c r="E116" s="24">
        <v>30674.11</v>
      </c>
      <c r="F116" s="24">
        <f>+VLOOKUP(C116,'[1]Rates Emailed to LEAs 5.27'!$A$10:$H$197,4,FALSE)</f>
        <v>7533.18</v>
      </c>
      <c r="G116" s="24">
        <f>+VLOOKUP(C116,'[1]Rates Emailed to LEAs 5.27'!$A$10:$H$197,8,FALSE)</f>
        <v>7533.18</v>
      </c>
      <c r="H116" s="23">
        <f t="shared" si="29"/>
        <v>28475.42</v>
      </c>
      <c r="I116" s="23">
        <f t="shared" si="30"/>
        <v>28475.42</v>
      </c>
      <c r="J116" s="121">
        <f t="shared" si="43"/>
        <v>197.75</v>
      </c>
      <c r="K116" s="121">
        <f t="shared" si="44"/>
        <v>197.75</v>
      </c>
      <c r="L116" s="24">
        <v>8800</v>
      </c>
      <c r="M116" s="20"/>
      <c r="N116" s="20"/>
      <c r="O116" s="104"/>
      <c r="P116" s="105"/>
      <c r="Q116" s="105"/>
      <c r="R116" s="106"/>
      <c r="S116" s="106"/>
      <c r="T116" s="20" t="s">
        <v>25</v>
      </c>
      <c r="U116" s="20" t="s">
        <v>25</v>
      </c>
      <c r="V116" s="20" t="s">
        <v>25</v>
      </c>
      <c r="W116" s="20" t="s">
        <v>25</v>
      </c>
    </row>
    <row r="117" spans="1:23" x14ac:dyDescent="0.2">
      <c r="A117" s="130">
        <v>417</v>
      </c>
      <c r="B117" s="72">
        <f>+A117-C117</f>
        <v>0</v>
      </c>
      <c r="C117" s="57">
        <v>417</v>
      </c>
      <c r="D117" s="59" t="s">
        <v>60</v>
      </c>
      <c r="E117" s="24">
        <v>7802.25</v>
      </c>
      <c r="F117" s="24">
        <f>+VLOOKUP(C117,'[1]Rates Emailed to LEAs 5.27'!$A$10:$H$197,4,FALSE)</f>
        <v>931.94</v>
      </c>
      <c r="G117" s="24">
        <f>+VLOOKUP(C117,'[1]Rates Emailed to LEAs 5.27'!$A$10:$H$197,8,FALSE)</f>
        <v>1190.07</v>
      </c>
      <c r="H117" s="23">
        <f t="shared" si="29"/>
        <v>3522.73</v>
      </c>
      <c r="I117" s="23">
        <f t="shared" si="30"/>
        <v>4498.46</v>
      </c>
      <c r="J117" s="121">
        <f t="shared" si="43"/>
        <v>24.46</v>
      </c>
      <c r="K117" s="121">
        <f t="shared" si="44"/>
        <v>31.24</v>
      </c>
      <c r="L117" s="24">
        <v>8800</v>
      </c>
      <c r="M117" s="20"/>
      <c r="N117" s="20"/>
      <c r="O117" s="104"/>
      <c r="P117" s="105"/>
      <c r="Q117" s="105"/>
      <c r="R117" s="106"/>
      <c r="S117" s="106"/>
      <c r="T117" s="20" t="s">
        <v>25</v>
      </c>
      <c r="U117" s="20" t="s">
        <v>25</v>
      </c>
      <c r="V117" s="20" t="s">
        <v>25</v>
      </c>
      <c r="W117" s="20" t="s">
        <v>25</v>
      </c>
    </row>
    <row r="118" spans="1:23" x14ac:dyDescent="0.2">
      <c r="A118" s="130">
        <v>418</v>
      </c>
      <c r="B118" s="72">
        <f>+A118-C118</f>
        <v>0</v>
      </c>
      <c r="C118" s="57">
        <v>418</v>
      </c>
      <c r="D118" s="59" t="s">
        <v>59</v>
      </c>
      <c r="E118" s="24">
        <v>7605.65</v>
      </c>
      <c r="F118" s="24">
        <f>+VLOOKUP(C118,'[1]Rates Emailed to LEAs 5.27'!$A$10:$H$197,4,FALSE)</f>
        <v>923.45</v>
      </c>
      <c r="G118" s="24">
        <f>+VLOOKUP(C118,'[1]Rates Emailed to LEAs 5.27'!$A$10:$H$197,8,FALSE)</f>
        <v>1129.93</v>
      </c>
      <c r="H118" s="23">
        <f t="shared" si="29"/>
        <v>3490.64</v>
      </c>
      <c r="I118" s="23">
        <f t="shared" si="30"/>
        <v>4271.1400000000003</v>
      </c>
      <c r="J118" s="23">
        <f t="shared" si="31"/>
        <v>19.39</v>
      </c>
      <c r="K118" s="23">
        <f t="shared" si="32"/>
        <v>23.73</v>
      </c>
      <c r="L118" s="131">
        <f t="shared" ref="L118:L120" si="45">$L$8</f>
        <v>8800</v>
      </c>
      <c r="M118" s="20"/>
      <c r="N118" s="20"/>
      <c r="O118" s="104"/>
      <c r="P118" s="105"/>
      <c r="Q118" s="105"/>
      <c r="R118" s="106"/>
      <c r="S118" s="106"/>
      <c r="T118" s="20" t="s">
        <v>25</v>
      </c>
      <c r="U118" s="20" t="s">
        <v>25</v>
      </c>
      <c r="V118" s="20" t="s">
        <v>25</v>
      </c>
      <c r="W118" s="20" t="s">
        <v>25</v>
      </c>
    </row>
    <row r="119" spans="1:23" x14ac:dyDescent="0.2">
      <c r="A119" s="130">
        <v>421</v>
      </c>
      <c r="B119" s="72">
        <f>+A119-C119</f>
        <v>0</v>
      </c>
      <c r="C119" s="57">
        <v>421</v>
      </c>
      <c r="D119" s="59" t="s">
        <v>58</v>
      </c>
      <c r="E119" s="24">
        <v>6295.8</v>
      </c>
      <c r="F119" s="24">
        <f>+VLOOKUP(C119,'[1]Rates Emailed to LEAs 5.27'!$A$10:$H$197,4,FALSE)</f>
        <v>1278.79</v>
      </c>
      <c r="G119" s="24">
        <f>+VLOOKUP(C119,'[1]Rates Emailed to LEAs 5.27'!$A$10:$H$197,8,FALSE)</f>
        <v>1565.9</v>
      </c>
      <c r="H119" s="23">
        <f t="shared" si="29"/>
        <v>4833.83</v>
      </c>
      <c r="I119" s="23">
        <f t="shared" si="30"/>
        <v>5919.1</v>
      </c>
      <c r="J119" s="23">
        <f t="shared" si="31"/>
        <v>26.85</v>
      </c>
      <c r="K119" s="23">
        <f t="shared" si="32"/>
        <v>32.880000000000003</v>
      </c>
      <c r="L119" s="131">
        <f t="shared" si="45"/>
        <v>8800</v>
      </c>
      <c r="M119" s="20"/>
      <c r="N119" s="20"/>
      <c r="O119" s="104"/>
      <c r="P119" s="105"/>
      <c r="Q119" s="105"/>
      <c r="R119" s="106">
        <v>261</v>
      </c>
      <c r="S119" s="106">
        <v>18</v>
      </c>
      <c r="T119" s="20" t="s">
        <v>25</v>
      </c>
      <c r="U119" s="20" t="s">
        <v>25</v>
      </c>
      <c r="V119" s="20" t="s">
        <v>25</v>
      </c>
      <c r="W119" s="20" t="s">
        <v>25</v>
      </c>
    </row>
    <row r="120" spans="1:23" x14ac:dyDescent="0.2">
      <c r="A120" s="130">
        <v>422</v>
      </c>
      <c r="B120" s="72">
        <f>+A120-C120</f>
        <v>0</v>
      </c>
      <c r="C120" s="57">
        <v>422</v>
      </c>
      <c r="D120" s="58" t="s">
        <v>57</v>
      </c>
      <c r="E120" s="24">
        <v>8514.1</v>
      </c>
      <c r="F120" s="24">
        <f>+VLOOKUP(C120,'[1]Rates Emailed to LEAs 5.27'!$A$10:$H$197,4,FALSE)</f>
        <v>1391.35</v>
      </c>
      <c r="G120" s="24">
        <f>+VLOOKUP(C120,'[1]Rates Emailed to LEAs 5.27'!$A$10:$H$197,8,FALSE)</f>
        <v>1663.45</v>
      </c>
      <c r="H120" s="23">
        <f t="shared" si="29"/>
        <v>5259.3</v>
      </c>
      <c r="I120" s="23">
        <f t="shared" si="30"/>
        <v>6287.84</v>
      </c>
      <c r="J120" s="23">
        <f t="shared" si="31"/>
        <v>29.22</v>
      </c>
      <c r="K120" s="23">
        <f t="shared" si="32"/>
        <v>34.93</v>
      </c>
      <c r="L120" s="131">
        <f t="shared" si="45"/>
        <v>8800</v>
      </c>
      <c r="M120" s="20"/>
      <c r="N120" s="20"/>
      <c r="O120" s="104"/>
      <c r="P120" s="105"/>
      <c r="Q120" s="105"/>
      <c r="R120" s="106"/>
      <c r="S120" s="106"/>
      <c r="T120" s="20" t="s">
        <v>25</v>
      </c>
      <c r="U120" s="20" t="s">
        <v>25</v>
      </c>
      <c r="V120" s="20" t="s">
        <v>25</v>
      </c>
      <c r="W120" s="20" t="s">
        <v>25</v>
      </c>
    </row>
    <row r="121" spans="1:23" x14ac:dyDescent="0.2">
      <c r="A121" s="130">
        <v>431</v>
      </c>
      <c r="B121" s="72">
        <f>+A121-C121</f>
        <v>0</v>
      </c>
      <c r="C121" s="57">
        <v>431</v>
      </c>
      <c r="D121" s="59" t="s">
        <v>56</v>
      </c>
      <c r="E121" s="24">
        <v>6314.69</v>
      </c>
      <c r="F121" s="24">
        <f>+VLOOKUP(C121,'[1]Rates Emailed to LEAs 5.27'!$A$10:$H$197,4,FALSE)</f>
        <v>626.52</v>
      </c>
      <c r="G121" s="24">
        <f>+VLOOKUP(C121,'[1]Rates Emailed to LEAs 5.27'!$A$10:$H$197,8,FALSE)</f>
        <v>826.39</v>
      </c>
      <c r="H121" s="23">
        <f t="shared" si="29"/>
        <v>2368.25</v>
      </c>
      <c r="I121" s="23">
        <f t="shared" si="30"/>
        <v>3123.75</v>
      </c>
      <c r="J121" s="121">
        <f t="shared" ref="J121:J123" si="46">IF(F121="N/A","N/A",ROUND((F121*0.42)/16,2))</f>
        <v>16.45</v>
      </c>
      <c r="K121" s="121">
        <f t="shared" ref="K121:K123" si="47">IF(G121="N/A","N/A",ROUND((G121*0.42)/16,2))</f>
        <v>21.69</v>
      </c>
      <c r="L121" s="24">
        <v>8800</v>
      </c>
      <c r="M121" s="20"/>
      <c r="N121" s="20"/>
      <c r="O121" s="104"/>
      <c r="P121" s="105"/>
      <c r="Q121" s="105"/>
      <c r="R121" s="106">
        <v>375.5</v>
      </c>
      <c r="S121" s="106">
        <v>424</v>
      </c>
      <c r="T121" s="20" t="s">
        <v>25</v>
      </c>
      <c r="U121" s="20" t="s">
        <v>25</v>
      </c>
      <c r="V121" s="20" t="s">
        <v>25</v>
      </c>
      <c r="W121" s="20" t="s">
        <v>25</v>
      </c>
    </row>
    <row r="122" spans="1:23" x14ac:dyDescent="0.2">
      <c r="A122" s="130">
        <v>432</v>
      </c>
      <c r="B122" s="72">
        <f>+A122-C122</f>
        <v>0</v>
      </c>
      <c r="C122" s="57">
        <v>432</v>
      </c>
      <c r="D122" s="59" t="s">
        <v>55</v>
      </c>
      <c r="E122" s="24">
        <v>9939.8799999999992</v>
      </c>
      <c r="F122" s="24">
        <f>+VLOOKUP(C122,'[1]Rates Emailed to LEAs 5.27'!$A$10:$H$197,4,FALSE)</f>
        <v>1070.45</v>
      </c>
      <c r="G122" s="24">
        <f>+VLOOKUP(C122,'[1]Rates Emailed to LEAs 5.27'!$A$10:$H$197,8,FALSE)</f>
        <v>1344.27</v>
      </c>
      <c r="H122" s="23">
        <f t="shared" si="29"/>
        <v>4046.3</v>
      </c>
      <c r="I122" s="23">
        <f t="shared" si="30"/>
        <v>5081.34</v>
      </c>
      <c r="J122" s="121">
        <f t="shared" si="46"/>
        <v>28.1</v>
      </c>
      <c r="K122" s="121">
        <f t="shared" si="47"/>
        <v>35.29</v>
      </c>
      <c r="L122" s="24">
        <v>8800</v>
      </c>
      <c r="M122" s="20"/>
      <c r="N122" s="20"/>
      <c r="O122" s="104"/>
      <c r="P122" s="105"/>
      <c r="Q122" s="105"/>
      <c r="R122" s="106"/>
      <c r="S122" s="106"/>
      <c r="T122" s="20" t="s">
        <v>25</v>
      </c>
      <c r="U122" s="20" t="s">
        <v>25</v>
      </c>
      <c r="V122" s="20" t="s">
        <v>25</v>
      </c>
      <c r="W122" s="20" t="s">
        <v>25</v>
      </c>
    </row>
    <row r="123" spans="1:23" x14ac:dyDescent="0.2">
      <c r="A123" s="130">
        <v>433</v>
      </c>
      <c r="B123" s="72">
        <f>+A123-C123</f>
        <v>0</v>
      </c>
      <c r="C123" s="57">
        <v>433</v>
      </c>
      <c r="D123" s="59" t="s">
        <v>54</v>
      </c>
      <c r="E123" s="24">
        <v>11548.15</v>
      </c>
      <c r="F123" s="24">
        <f>+VLOOKUP(C123,'[1]Rates Emailed to LEAs 5.27'!$A$10:$H$197,4,FALSE)</f>
        <v>1296.75</v>
      </c>
      <c r="G123" s="24">
        <f>+VLOOKUP(C123,'[1]Rates Emailed to LEAs 5.27'!$A$10:$H$197,8,FALSE)</f>
        <v>1806.91</v>
      </c>
      <c r="H123" s="23">
        <f t="shared" si="29"/>
        <v>4901.72</v>
      </c>
      <c r="I123" s="23">
        <f t="shared" si="30"/>
        <v>6830.12</v>
      </c>
      <c r="J123" s="121">
        <f t="shared" si="46"/>
        <v>34.04</v>
      </c>
      <c r="K123" s="121">
        <f t="shared" si="47"/>
        <v>47.43</v>
      </c>
      <c r="L123" s="24">
        <v>8800</v>
      </c>
      <c r="M123" s="20"/>
      <c r="N123" s="20"/>
      <c r="O123" s="104"/>
      <c r="P123" s="105"/>
      <c r="Q123" s="105"/>
      <c r="R123" s="106"/>
      <c r="S123" s="106"/>
      <c r="T123" s="20" t="s">
        <v>25</v>
      </c>
      <c r="U123" s="20" t="s">
        <v>25</v>
      </c>
      <c r="V123" s="20" t="s">
        <v>25</v>
      </c>
      <c r="W123" s="20" t="s">
        <v>25</v>
      </c>
    </row>
    <row r="124" spans="1:23" x14ac:dyDescent="0.2">
      <c r="A124" s="130">
        <v>451</v>
      </c>
      <c r="B124" s="72">
        <f>+A124-C124</f>
        <v>0</v>
      </c>
      <c r="C124" s="57">
        <v>451</v>
      </c>
      <c r="D124" s="59" t="s">
        <v>53</v>
      </c>
      <c r="E124" s="24">
        <v>7246.07</v>
      </c>
      <c r="F124" s="24">
        <f>+VLOOKUP(C124,'[1]Rates Emailed to LEAs 5.27'!$A$10:$H$197,4,FALSE)</f>
        <v>822.71</v>
      </c>
      <c r="G124" s="24">
        <f>+VLOOKUP(C124,'[1]Rates Emailed to LEAs 5.27'!$A$10:$H$197,8,FALSE)</f>
        <v>706.85</v>
      </c>
      <c r="H124" s="23">
        <f t="shared" si="29"/>
        <v>3109.84</v>
      </c>
      <c r="I124" s="23">
        <f t="shared" si="30"/>
        <v>2671.89</v>
      </c>
      <c r="J124" s="23">
        <f t="shared" si="31"/>
        <v>17.28</v>
      </c>
      <c r="K124" s="23">
        <f t="shared" si="32"/>
        <v>14.84</v>
      </c>
      <c r="L124" s="131">
        <f t="shared" ref="L124:L134" si="48">$L$8</f>
        <v>8800</v>
      </c>
      <c r="M124" s="20"/>
      <c r="N124" s="20"/>
      <c r="O124" s="104"/>
      <c r="P124" s="105"/>
      <c r="Q124" s="105"/>
      <c r="R124" s="106"/>
      <c r="S124" s="106"/>
      <c r="T124" s="20" t="s">
        <v>25</v>
      </c>
      <c r="U124" s="20" t="s">
        <v>25</v>
      </c>
      <c r="V124" s="20" t="s">
        <v>25</v>
      </c>
      <c r="W124" s="20" t="s">
        <v>25</v>
      </c>
    </row>
    <row r="125" spans="1:23" x14ac:dyDescent="0.2">
      <c r="A125" s="130">
        <v>452</v>
      </c>
      <c r="B125" s="72">
        <f>+A125-C125</f>
        <v>0</v>
      </c>
      <c r="C125" s="57">
        <v>452</v>
      </c>
      <c r="D125" s="58" t="s">
        <v>184</v>
      </c>
      <c r="E125" s="24">
        <v>5793.38</v>
      </c>
      <c r="F125" s="24">
        <f>+VLOOKUP(C125,'[1]Rates Emailed to LEAs 5.27'!$A$10:$H$197,4,FALSE)</f>
        <v>779.93</v>
      </c>
      <c r="G125" s="24">
        <f>+VLOOKUP(C125,'[1]Rates Emailed to LEAs 5.27'!$A$10:$H$197,8,FALSE)</f>
        <v>533.04</v>
      </c>
      <c r="H125" s="23">
        <f t="shared" si="29"/>
        <v>2948.14</v>
      </c>
      <c r="I125" s="23">
        <f t="shared" si="30"/>
        <v>2014.89</v>
      </c>
      <c r="J125" s="23">
        <f t="shared" si="31"/>
        <v>16.38</v>
      </c>
      <c r="K125" s="23">
        <f t="shared" si="32"/>
        <v>11.19</v>
      </c>
      <c r="L125" s="131">
        <f t="shared" si="48"/>
        <v>8800</v>
      </c>
      <c r="M125" s="20"/>
      <c r="N125" s="20"/>
      <c r="O125" s="104"/>
      <c r="P125" s="105"/>
      <c r="Q125" s="105"/>
      <c r="R125" s="106"/>
      <c r="S125" s="106">
        <v>68</v>
      </c>
      <c r="T125" s="106" t="s">
        <v>25</v>
      </c>
      <c r="U125" s="106" t="s">
        <v>25</v>
      </c>
      <c r="V125" s="106" t="s">
        <v>25</v>
      </c>
      <c r="W125" s="106" t="s">
        <v>25</v>
      </c>
    </row>
    <row r="126" spans="1:23" x14ac:dyDescent="0.2">
      <c r="A126" s="130">
        <v>453</v>
      </c>
      <c r="B126" s="72">
        <f>+A126-C126</f>
        <v>0</v>
      </c>
      <c r="C126" s="57">
        <v>453</v>
      </c>
      <c r="D126" s="59" t="s">
        <v>52</v>
      </c>
      <c r="E126" s="24">
        <v>7973.6</v>
      </c>
      <c r="F126" s="24">
        <f>+VLOOKUP(C126,'[1]Rates Emailed to LEAs 5.27'!$A$10:$H$197,4,FALSE)</f>
        <v>893.42</v>
      </c>
      <c r="G126" s="24">
        <f>+VLOOKUP(C126,'[1]Rates Emailed to LEAs 5.27'!$A$10:$H$197,8,FALSE)</f>
        <v>602.64</v>
      </c>
      <c r="H126" s="23">
        <f t="shared" si="29"/>
        <v>3377.13</v>
      </c>
      <c r="I126" s="23">
        <f t="shared" si="30"/>
        <v>2277.98</v>
      </c>
      <c r="J126" s="23">
        <f t="shared" si="31"/>
        <v>18.760000000000002</v>
      </c>
      <c r="K126" s="23">
        <f t="shared" si="32"/>
        <v>12.66</v>
      </c>
      <c r="L126" s="131">
        <f t="shared" si="48"/>
        <v>8800</v>
      </c>
      <c r="M126" s="20"/>
      <c r="N126" s="20"/>
      <c r="O126" s="104"/>
      <c r="P126" s="105"/>
      <c r="Q126" s="105"/>
      <c r="R126" s="106"/>
      <c r="S126" s="106"/>
      <c r="T126" s="20" t="s">
        <v>25</v>
      </c>
      <c r="U126" s="20" t="s">
        <v>25</v>
      </c>
      <c r="V126" s="20" t="s">
        <v>25</v>
      </c>
      <c r="W126" s="20" t="s">
        <v>25</v>
      </c>
    </row>
    <row r="127" spans="1:23" x14ac:dyDescent="0.2">
      <c r="A127" s="130">
        <v>454</v>
      </c>
      <c r="B127" s="72">
        <f>+A127-C127</f>
        <v>0</v>
      </c>
      <c r="C127" s="57">
        <v>454</v>
      </c>
      <c r="D127" s="59" t="s">
        <v>51</v>
      </c>
      <c r="E127" s="24">
        <v>6449.1</v>
      </c>
      <c r="F127" s="24">
        <f>+VLOOKUP(C127,'[1]Rates Emailed to LEAs 5.27'!$A$10:$H$197,4,FALSE)</f>
        <v>855.05</v>
      </c>
      <c r="G127" s="24">
        <f>+VLOOKUP(C127,'[1]Rates Emailed to LEAs 5.27'!$A$10:$H$197,8,FALSE)</f>
        <v>1202.2</v>
      </c>
      <c r="H127" s="23">
        <f t="shared" si="29"/>
        <v>3232.09</v>
      </c>
      <c r="I127" s="23">
        <f t="shared" si="30"/>
        <v>4544.32</v>
      </c>
      <c r="J127" s="23">
        <f t="shared" si="31"/>
        <v>17.96</v>
      </c>
      <c r="K127" s="23">
        <f t="shared" si="32"/>
        <v>25.25</v>
      </c>
      <c r="L127" s="131">
        <f t="shared" si="48"/>
        <v>8800</v>
      </c>
      <c r="M127" s="20"/>
      <c r="N127" s="20"/>
      <c r="O127" s="104"/>
      <c r="P127" s="105"/>
      <c r="Q127" s="105"/>
      <c r="R127" s="106"/>
      <c r="S127" s="106"/>
      <c r="T127" s="20" t="s">
        <v>25</v>
      </c>
      <c r="U127" s="20" t="s">
        <v>25</v>
      </c>
      <c r="V127" s="20" t="s">
        <v>25</v>
      </c>
      <c r="W127" s="20" t="s">
        <v>25</v>
      </c>
    </row>
    <row r="128" spans="1:23" x14ac:dyDescent="0.2">
      <c r="A128" s="130">
        <v>455</v>
      </c>
      <c r="B128" s="72">
        <f>+A128-C128</f>
        <v>0</v>
      </c>
      <c r="C128" s="57">
        <v>455</v>
      </c>
      <c r="D128" s="59" t="s">
        <v>192</v>
      </c>
      <c r="E128" s="24">
        <v>5761.59</v>
      </c>
      <c r="F128" s="24">
        <f>+VLOOKUP(C128,'[1]Rates Emailed to LEAs 5.27'!$A$10:$H$197,4,FALSE)</f>
        <v>610.78</v>
      </c>
      <c r="G128" s="24">
        <f>+VLOOKUP(C128,'[1]Rates Emailed to LEAs 5.27'!$A$10:$H$197,8,FALSE)</f>
        <v>841.06</v>
      </c>
      <c r="H128" s="23">
        <f t="shared" si="29"/>
        <v>2308.75</v>
      </c>
      <c r="I128" s="23">
        <f t="shared" si="30"/>
        <v>3179.21</v>
      </c>
      <c r="J128" s="23">
        <f t="shared" si="31"/>
        <v>12.83</v>
      </c>
      <c r="K128" s="23">
        <f t="shared" si="32"/>
        <v>17.66</v>
      </c>
      <c r="L128" s="131">
        <f t="shared" si="48"/>
        <v>8800</v>
      </c>
      <c r="M128" s="20"/>
      <c r="N128" s="20"/>
      <c r="O128" s="104"/>
      <c r="P128" s="105"/>
      <c r="Q128" s="108"/>
      <c r="R128" s="106"/>
      <c r="S128" s="106"/>
      <c r="T128" s="20" t="s">
        <v>25</v>
      </c>
      <c r="U128" s="20" t="s">
        <v>25</v>
      </c>
      <c r="V128" s="20" t="s">
        <v>25</v>
      </c>
      <c r="W128" s="20" t="s">
        <v>25</v>
      </c>
    </row>
    <row r="129" spans="1:23" x14ac:dyDescent="0.2">
      <c r="A129" s="130">
        <v>456</v>
      </c>
      <c r="B129" s="72">
        <f>+A129-C129</f>
        <v>0</v>
      </c>
      <c r="C129" s="57">
        <v>456</v>
      </c>
      <c r="D129" s="59" t="s">
        <v>50</v>
      </c>
      <c r="E129" s="24">
        <v>6421.95</v>
      </c>
      <c r="F129" s="24">
        <f>+VLOOKUP(C129,'[1]Rates Emailed to LEAs 5.27'!$A$10:$H$197,4,FALSE)</f>
        <v>751.9</v>
      </c>
      <c r="G129" s="24">
        <f>+VLOOKUP(C129,'[1]Rates Emailed to LEAs 5.27'!$A$10:$H$197,8,FALSE)</f>
        <v>1011.78</v>
      </c>
      <c r="H129" s="23">
        <f t="shared" si="29"/>
        <v>2842.18</v>
      </c>
      <c r="I129" s="23">
        <f t="shared" si="30"/>
        <v>3824.53</v>
      </c>
      <c r="J129" s="23">
        <f t="shared" si="31"/>
        <v>15.79</v>
      </c>
      <c r="K129" s="23">
        <f t="shared" si="32"/>
        <v>21.25</v>
      </c>
      <c r="L129" s="131">
        <f t="shared" si="48"/>
        <v>8800</v>
      </c>
      <c r="M129" s="20"/>
      <c r="N129" s="20"/>
      <c r="O129" s="104"/>
      <c r="P129" s="105"/>
      <c r="Q129" s="108"/>
      <c r="R129" s="106"/>
      <c r="S129" s="106"/>
      <c r="T129" s="20" t="s">
        <v>25</v>
      </c>
      <c r="U129" s="20" t="s">
        <v>25</v>
      </c>
      <c r="V129" s="20" t="s">
        <v>25</v>
      </c>
      <c r="W129" s="20" t="s">
        <v>25</v>
      </c>
    </row>
    <row r="130" spans="1:23" x14ac:dyDescent="0.2">
      <c r="A130" s="130">
        <v>457</v>
      </c>
      <c r="B130" s="72">
        <f>+A130-C130</f>
        <v>0</v>
      </c>
      <c r="C130" s="57">
        <v>457</v>
      </c>
      <c r="D130" s="58" t="s">
        <v>202</v>
      </c>
      <c r="E130" s="24">
        <v>6027.58</v>
      </c>
      <c r="F130" s="24">
        <f>+VLOOKUP(C130,'[1]Rates Emailed to LEAs 5.27'!$A$10:$H$197,4,FALSE)</f>
        <v>617.51</v>
      </c>
      <c r="G130" s="24">
        <f>+VLOOKUP(C130,'[1]Rates Emailed to LEAs 5.27'!$A$10:$H$197,8,FALSE)</f>
        <v>678.3</v>
      </c>
      <c r="H130" s="23">
        <f t="shared" si="29"/>
        <v>2334.19</v>
      </c>
      <c r="I130" s="23">
        <f t="shared" si="30"/>
        <v>2563.9699999999998</v>
      </c>
      <c r="J130" s="23">
        <f t="shared" si="31"/>
        <v>12.97</v>
      </c>
      <c r="K130" s="23">
        <f t="shared" si="32"/>
        <v>14.24</v>
      </c>
      <c r="L130" s="131">
        <f t="shared" si="48"/>
        <v>8800</v>
      </c>
      <c r="M130" s="20"/>
      <c r="N130" s="20"/>
      <c r="O130" s="104"/>
      <c r="P130" s="105"/>
      <c r="Q130" s="108"/>
      <c r="R130" s="106">
        <v>33</v>
      </c>
      <c r="S130" s="106">
        <v>201</v>
      </c>
      <c r="T130" s="20" t="s">
        <v>25</v>
      </c>
      <c r="U130" s="20" t="s">
        <v>25</v>
      </c>
      <c r="V130" s="20" t="s">
        <v>25</v>
      </c>
      <c r="W130" s="20" t="s">
        <v>25</v>
      </c>
    </row>
    <row r="131" spans="1:23" x14ac:dyDescent="0.2">
      <c r="A131" s="130">
        <v>458</v>
      </c>
      <c r="B131" s="72">
        <f>+A131-C131</f>
        <v>0</v>
      </c>
      <c r="C131" s="57">
        <v>458</v>
      </c>
      <c r="D131" s="59" t="s">
        <v>49</v>
      </c>
      <c r="E131" s="24">
        <v>7507.53</v>
      </c>
      <c r="F131" s="24">
        <f>+VLOOKUP(C131,'[1]Rates Emailed to LEAs 5.27'!$A$10:$H$197,4,FALSE)</f>
        <v>825.79</v>
      </c>
      <c r="G131" s="24">
        <f>+VLOOKUP(C131,'[1]Rates Emailed to LEAs 5.27'!$A$10:$H$197,8,FALSE)</f>
        <v>717.52</v>
      </c>
      <c r="H131" s="23">
        <f t="shared" si="29"/>
        <v>3121.49</v>
      </c>
      <c r="I131" s="23">
        <f t="shared" si="30"/>
        <v>2712.23</v>
      </c>
      <c r="J131" s="23">
        <f t="shared" si="31"/>
        <v>17.34</v>
      </c>
      <c r="K131" s="23">
        <f t="shared" si="32"/>
        <v>15.07</v>
      </c>
      <c r="L131" s="131">
        <f t="shared" si="48"/>
        <v>8800</v>
      </c>
      <c r="M131" s="20"/>
      <c r="N131" s="20"/>
      <c r="O131" s="104"/>
      <c r="P131" s="105"/>
      <c r="Q131" s="108"/>
      <c r="R131" s="106"/>
      <c r="S131" s="106"/>
      <c r="T131" s="20" t="s">
        <v>25</v>
      </c>
      <c r="U131" s="20" t="s">
        <v>25</v>
      </c>
      <c r="V131" s="20" t="s">
        <v>25</v>
      </c>
      <c r="W131" s="20" t="s">
        <v>25</v>
      </c>
    </row>
    <row r="132" spans="1:23" x14ac:dyDescent="0.2">
      <c r="A132" s="130">
        <v>460</v>
      </c>
      <c r="B132" s="72">
        <f>+A132-C132</f>
        <v>0</v>
      </c>
      <c r="C132" s="57">
        <v>460</v>
      </c>
      <c r="D132" s="59" t="s">
        <v>193</v>
      </c>
      <c r="E132" s="24">
        <v>5813.89</v>
      </c>
      <c r="F132" s="24">
        <f>+VLOOKUP(C132,'[1]Rates Emailed to LEAs 5.27'!$A$10:$H$197,4,FALSE)</f>
        <v>623.65</v>
      </c>
      <c r="G132" s="24">
        <f>+VLOOKUP(C132,'[1]Rates Emailed to LEAs 5.27'!$A$10:$H$197,8,FALSE)</f>
        <v>922.56</v>
      </c>
      <c r="H132" s="23">
        <f t="shared" si="29"/>
        <v>2357.4</v>
      </c>
      <c r="I132" s="23">
        <f t="shared" si="30"/>
        <v>3487.28</v>
      </c>
      <c r="J132" s="23">
        <f t="shared" si="31"/>
        <v>13.1</v>
      </c>
      <c r="K132" s="23">
        <f t="shared" si="32"/>
        <v>19.37</v>
      </c>
      <c r="L132" s="131">
        <f t="shared" si="48"/>
        <v>8800</v>
      </c>
      <c r="M132" s="20"/>
      <c r="N132" s="20"/>
      <c r="O132" s="104"/>
      <c r="P132" s="105"/>
      <c r="Q132" s="108"/>
      <c r="R132" s="106"/>
      <c r="S132" s="106"/>
      <c r="T132" s="20" t="s">
        <v>25</v>
      </c>
      <c r="U132" s="20" t="s">
        <v>25</v>
      </c>
      <c r="V132" s="20" t="s">
        <v>25</v>
      </c>
      <c r="W132" s="20" t="s">
        <v>25</v>
      </c>
    </row>
    <row r="133" spans="1:23" x14ac:dyDescent="0.2">
      <c r="A133" s="130">
        <v>461</v>
      </c>
      <c r="B133" s="72">
        <f>+A133-C133</f>
        <v>0</v>
      </c>
      <c r="C133" s="57">
        <v>461</v>
      </c>
      <c r="D133" s="59" t="s">
        <v>194</v>
      </c>
      <c r="E133" s="24">
        <v>6957.35</v>
      </c>
      <c r="F133" s="24">
        <f>+VLOOKUP(C133,'[1]Rates Emailed to LEAs 5.27'!$A$10:$H$197,4,FALSE)</f>
        <v>707.03</v>
      </c>
      <c r="G133" s="24">
        <f>+VLOOKUP(C133,'[1]Rates Emailed to LEAs 5.27'!$A$10:$H$197,8,FALSE)</f>
        <v>949.37</v>
      </c>
      <c r="H133" s="23">
        <f t="shared" si="29"/>
        <v>2672.57</v>
      </c>
      <c r="I133" s="23">
        <f t="shared" si="30"/>
        <v>3588.62</v>
      </c>
      <c r="J133" s="23">
        <f t="shared" si="31"/>
        <v>14.85</v>
      </c>
      <c r="K133" s="23">
        <f t="shared" si="32"/>
        <v>19.940000000000001</v>
      </c>
      <c r="L133" s="131">
        <f t="shared" si="48"/>
        <v>8800</v>
      </c>
      <c r="M133" s="20"/>
      <c r="N133" s="20"/>
      <c r="O133" s="104"/>
      <c r="P133" s="105"/>
      <c r="Q133" s="108"/>
      <c r="R133" s="106"/>
      <c r="S133" s="106"/>
      <c r="T133" s="20" t="s">
        <v>25</v>
      </c>
      <c r="U133" s="20" t="s">
        <v>25</v>
      </c>
      <c r="V133" s="20" t="s">
        <v>25</v>
      </c>
      <c r="W133" s="20" t="s">
        <v>25</v>
      </c>
    </row>
    <row r="134" spans="1:23" x14ac:dyDescent="0.2">
      <c r="A134" s="130">
        <v>462</v>
      </c>
      <c r="B134" s="72">
        <f>+A134-C134</f>
        <v>0</v>
      </c>
      <c r="C134" s="57">
        <v>462</v>
      </c>
      <c r="D134" s="59" t="s">
        <v>48</v>
      </c>
      <c r="E134" s="24">
        <v>6333.7</v>
      </c>
      <c r="F134" s="24">
        <f>+VLOOKUP(C134,'[1]Rates Emailed to LEAs 5.27'!$A$10:$H$197,4,FALSE)</f>
        <v>611.62</v>
      </c>
      <c r="G134" s="24">
        <f>+VLOOKUP(C134,'[1]Rates Emailed to LEAs 5.27'!$A$10:$H$197,8,FALSE)</f>
        <v>855.59</v>
      </c>
      <c r="H134" s="23">
        <f t="shared" si="29"/>
        <v>2311.92</v>
      </c>
      <c r="I134" s="23">
        <f t="shared" si="30"/>
        <v>3234.13</v>
      </c>
      <c r="J134" s="23">
        <f t="shared" si="31"/>
        <v>12.84</v>
      </c>
      <c r="K134" s="23">
        <f t="shared" si="32"/>
        <v>17.97</v>
      </c>
      <c r="L134" s="131">
        <f t="shared" si="48"/>
        <v>8800</v>
      </c>
      <c r="M134" s="20"/>
      <c r="N134" s="20"/>
      <c r="O134" s="104"/>
      <c r="P134" s="105"/>
      <c r="Q134" s="108"/>
      <c r="R134" s="106"/>
      <c r="S134" s="106"/>
      <c r="T134" s="20" t="s">
        <v>25</v>
      </c>
      <c r="U134" s="20" t="s">
        <v>25</v>
      </c>
      <c r="V134" s="20" t="s">
        <v>25</v>
      </c>
      <c r="W134" s="20" t="s">
        <v>25</v>
      </c>
    </row>
    <row r="135" spans="1:23" x14ac:dyDescent="0.2">
      <c r="A135" s="130">
        <v>463</v>
      </c>
      <c r="B135" s="72">
        <f>+A135-C135</f>
        <v>0</v>
      </c>
      <c r="C135" s="57">
        <v>463</v>
      </c>
      <c r="D135" s="59" t="s">
        <v>47</v>
      </c>
      <c r="E135" s="24">
        <v>6680.44</v>
      </c>
      <c r="F135" s="24">
        <f>+VLOOKUP(C135,'[1]Rates Emailed to LEAs 5.27'!$A$10:$H$197,4,FALSE)</f>
        <v>723.35</v>
      </c>
      <c r="G135" s="24">
        <f>+VLOOKUP(C135,'[1]Rates Emailed to LEAs 5.27'!$A$10:$H$197,8,FALSE)</f>
        <v>793.08</v>
      </c>
      <c r="H135" s="23">
        <f t="shared" si="29"/>
        <v>2734.26</v>
      </c>
      <c r="I135" s="23">
        <f t="shared" si="30"/>
        <v>2997.84</v>
      </c>
      <c r="J135" s="121">
        <f>IF(F135="N/A","N/A",ROUND((F135*0.42)/16,2))</f>
        <v>18.989999999999998</v>
      </c>
      <c r="K135" s="121">
        <f>IF(G135="N/A","N/A",ROUND((G135*0.42)/16,2))</f>
        <v>20.82</v>
      </c>
      <c r="L135" s="24">
        <v>8800</v>
      </c>
      <c r="M135" s="20"/>
      <c r="N135" s="20"/>
      <c r="O135" s="104"/>
      <c r="P135" s="105"/>
      <c r="Q135" s="108"/>
      <c r="R135" s="106"/>
      <c r="S135" s="106"/>
      <c r="T135" s="20" t="s">
        <v>25</v>
      </c>
      <c r="U135" s="20" t="s">
        <v>25</v>
      </c>
      <c r="V135" s="20" t="s">
        <v>25</v>
      </c>
      <c r="W135" s="20" t="s">
        <v>25</v>
      </c>
    </row>
    <row r="136" spans="1:23" x14ac:dyDescent="0.2">
      <c r="A136" s="130">
        <v>464</v>
      </c>
      <c r="B136" s="72">
        <f>+A136-C136</f>
        <v>0</v>
      </c>
      <c r="C136" s="57">
        <v>464</v>
      </c>
      <c r="D136" s="59" t="s">
        <v>46</v>
      </c>
      <c r="E136" s="24">
        <v>5608.64</v>
      </c>
      <c r="F136" s="24">
        <f>+VLOOKUP(C136,'[1]Rates Emailed to LEAs 5.27'!$A$10:$H$197,4,FALSE)</f>
        <v>650.04</v>
      </c>
      <c r="G136" s="24">
        <f>+VLOOKUP(C136,'[1]Rates Emailed to LEAs 5.27'!$A$10:$H$197,8,FALSE)</f>
        <v>721.83</v>
      </c>
      <c r="H136" s="23">
        <f t="shared" si="29"/>
        <v>2457.15</v>
      </c>
      <c r="I136" s="23">
        <f t="shared" si="30"/>
        <v>2728.52</v>
      </c>
      <c r="J136" s="23">
        <f t="shared" si="31"/>
        <v>13.65</v>
      </c>
      <c r="K136" s="23">
        <f t="shared" si="32"/>
        <v>15.16</v>
      </c>
      <c r="L136" s="131">
        <f t="shared" ref="L136:L138" si="49">$L$8</f>
        <v>8800</v>
      </c>
      <c r="M136" s="20"/>
      <c r="N136" s="20"/>
      <c r="O136" s="104"/>
      <c r="P136" s="105"/>
      <c r="Q136" s="108"/>
      <c r="R136" s="106"/>
      <c r="S136" s="106"/>
      <c r="T136" s="20" t="s">
        <v>25</v>
      </c>
      <c r="U136" s="20" t="s">
        <v>25</v>
      </c>
      <c r="V136" s="20" t="s">
        <v>25</v>
      </c>
      <c r="W136" s="20" t="s">
        <v>25</v>
      </c>
    </row>
    <row r="137" spans="1:23" x14ac:dyDescent="0.2">
      <c r="A137" s="130">
        <v>465</v>
      </c>
      <c r="B137" s="72">
        <f>+A137-C137</f>
        <v>0</v>
      </c>
      <c r="C137" s="57">
        <v>465</v>
      </c>
      <c r="D137" s="59" t="s">
        <v>185</v>
      </c>
      <c r="E137" s="24">
        <v>6893.35</v>
      </c>
      <c r="F137" s="24">
        <f>+VLOOKUP(C137,'[1]Rates Emailed to LEAs 5.27'!$A$10:$H$197,4,FALSE)</f>
        <v>754.53</v>
      </c>
      <c r="G137" s="24">
        <f>+VLOOKUP(C137,'[1]Rates Emailed to LEAs 5.27'!$A$10:$H$197,8,FALSE)</f>
        <v>851.11</v>
      </c>
      <c r="H137" s="23">
        <f t="shared" si="29"/>
        <v>2852.12</v>
      </c>
      <c r="I137" s="23">
        <f t="shared" si="30"/>
        <v>3217.2</v>
      </c>
      <c r="J137" s="23">
        <f t="shared" si="31"/>
        <v>15.85</v>
      </c>
      <c r="K137" s="23">
        <f t="shared" si="32"/>
        <v>17.87</v>
      </c>
      <c r="L137" s="131">
        <f t="shared" si="49"/>
        <v>8800</v>
      </c>
      <c r="M137" s="20"/>
      <c r="N137" s="20"/>
      <c r="O137" s="104"/>
      <c r="P137" s="105"/>
      <c r="Q137" s="108"/>
      <c r="R137" s="106"/>
      <c r="S137" s="106"/>
      <c r="T137" s="20" t="s">
        <v>25</v>
      </c>
      <c r="U137" s="20" t="s">
        <v>25</v>
      </c>
      <c r="V137" s="20" t="s">
        <v>25</v>
      </c>
      <c r="W137" s="20" t="s">
        <v>25</v>
      </c>
    </row>
    <row r="138" spans="1:23" x14ac:dyDescent="0.2">
      <c r="A138" s="130">
        <v>466</v>
      </c>
      <c r="B138" s="72">
        <f>+A138-C138</f>
        <v>0</v>
      </c>
      <c r="C138" s="57">
        <v>466</v>
      </c>
      <c r="D138" s="59" t="s">
        <v>195</v>
      </c>
      <c r="E138" s="24">
        <v>7286.55</v>
      </c>
      <c r="F138" s="24" t="str">
        <f>+VLOOKUP(C138,'[1]Rates Emailed to LEAs 5.27'!$A$10:$H$197,4,FALSE)</f>
        <v>n/a</v>
      </c>
      <c r="G138" s="24">
        <f>+VLOOKUP(C138,'[1]Rates Emailed to LEAs 5.27'!$A$10:$H$197,8,FALSE)</f>
        <v>626.13</v>
      </c>
      <c r="H138" s="23" t="str">
        <f t="shared" ref="H138:H194" si="50">IFERROR((ROUND(F138*9*0.42,2)),"n/a")</f>
        <v>n/a</v>
      </c>
      <c r="I138" s="23">
        <f t="shared" ref="I138:I194" si="51">IFERROR((ROUND(G138*9*0.42,2)),"n/a")</f>
        <v>2366.77</v>
      </c>
      <c r="J138" s="23" t="str">
        <f t="shared" ref="J138:J194" si="52">IF(F138="N/A","N/A",ROUND((F138*0.42)/20,2))</f>
        <v>N/A</v>
      </c>
      <c r="K138" s="23">
        <f t="shared" ref="K138:K194" si="53">IF(G138="N/A","N/A",ROUND((G138*0.42)/20,2))</f>
        <v>13.15</v>
      </c>
      <c r="L138" s="131">
        <f t="shared" si="49"/>
        <v>8800</v>
      </c>
      <c r="M138" s="20"/>
      <c r="N138" s="20"/>
      <c r="O138" s="104"/>
      <c r="P138" s="105"/>
      <c r="Q138" s="108"/>
      <c r="R138" s="106"/>
      <c r="S138" s="106">
        <v>106</v>
      </c>
      <c r="T138" s="20" t="s">
        <v>25</v>
      </c>
      <c r="U138" s="20" t="s">
        <v>25</v>
      </c>
      <c r="V138" s="20" t="s">
        <v>25</v>
      </c>
      <c r="W138" s="20" t="s">
        <v>25</v>
      </c>
    </row>
    <row r="139" spans="1:23" x14ac:dyDescent="0.2">
      <c r="A139" s="130">
        <v>468</v>
      </c>
      <c r="B139" s="72">
        <f>+A139-C139</f>
        <v>0</v>
      </c>
      <c r="C139" s="57">
        <v>468</v>
      </c>
      <c r="D139" s="59" t="s">
        <v>203</v>
      </c>
      <c r="E139" s="24">
        <v>6171.44</v>
      </c>
      <c r="F139" s="24">
        <f>+VLOOKUP(C139,'[1]Rates Emailed to LEAs 5.27'!$A$10:$H$197,4,FALSE)</f>
        <v>722.84</v>
      </c>
      <c r="G139" s="24">
        <f>+VLOOKUP(C139,'[1]Rates Emailed to LEAs 5.27'!$A$10:$H$197,8,FALSE)</f>
        <v>1354.52</v>
      </c>
      <c r="H139" s="23">
        <f t="shared" si="50"/>
        <v>2732.34</v>
      </c>
      <c r="I139" s="23">
        <f t="shared" si="51"/>
        <v>5120.09</v>
      </c>
      <c r="J139" s="121">
        <f>IF(F139="N/A","N/A",ROUND((F139*0.42)/16,2))</f>
        <v>18.97</v>
      </c>
      <c r="K139" s="121">
        <f>IF(G139="N/A","N/A",ROUND((G139*0.42)/16,2))</f>
        <v>35.56</v>
      </c>
      <c r="L139" s="24">
        <v>8800</v>
      </c>
      <c r="M139" s="20"/>
      <c r="N139" s="20"/>
      <c r="O139" s="104"/>
      <c r="P139" s="105"/>
      <c r="Q139" s="108"/>
      <c r="R139" s="106">
        <v>437</v>
      </c>
      <c r="S139" s="106">
        <v>158</v>
      </c>
      <c r="T139" s="20" t="s">
        <v>25</v>
      </c>
      <c r="U139" s="20" t="s">
        <v>25</v>
      </c>
      <c r="V139" s="20" t="s">
        <v>25</v>
      </c>
      <c r="W139" s="20" t="s">
        <v>25</v>
      </c>
    </row>
    <row r="140" spans="1:23" x14ac:dyDescent="0.2">
      <c r="A140" s="130">
        <v>469</v>
      </c>
      <c r="B140" s="72">
        <f>+A140-C140</f>
        <v>0</v>
      </c>
      <c r="C140" s="57">
        <v>469</v>
      </c>
      <c r="D140" s="59" t="s">
        <v>204</v>
      </c>
      <c r="E140" s="24">
        <v>10397.549999999999</v>
      </c>
      <c r="F140" s="24">
        <f>+VLOOKUP(C140,'[1]Rates Emailed to LEAs 5.27'!$A$10:$H$197,4,FALSE)</f>
        <v>1143.3800000000001</v>
      </c>
      <c r="G140" s="24">
        <f>+VLOOKUP(C140,'[1]Rates Emailed to LEAs 5.27'!$A$10:$H$197,8,FALSE)</f>
        <v>1128.51</v>
      </c>
      <c r="H140" s="23">
        <f t="shared" si="50"/>
        <v>4321.9799999999996</v>
      </c>
      <c r="I140" s="23">
        <f t="shared" si="51"/>
        <v>4265.7700000000004</v>
      </c>
      <c r="J140" s="23">
        <f t="shared" si="52"/>
        <v>24.01</v>
      </c>
      <c r="K140" s="23">
        <f t="shared" si="53"/>
        <v>23.7</v>
      </c>
      <c r="L140" s="131">
        <f t="shared" ref="L140:L142" si="54">$L$8</f>
        <v>8800</v>
      </c>
      <c r="M140" s="20"/>
      <c r="N140" s="20"/>
      <c r="O140" s="104"/>
      <c r="P140" s="105"/>
      <c r="Q140" s="108"/>
      <c r="R140" s="106">
        <v>23</v>
      </c>
      <c r="S140" s="106">
        <v>3891</v>
      </c>
      <c r="T140" s="20" t="s">
        <v>25</v>
      </c>
      <c r="U140" s="20" t="s">
        <v>25</v>
      </c>
      <c r="V140" s="20" t="s">
        <v>25</v>
      </c>
      <c r="W140" s="20" t="s">
        <v>25</v>
      </c>
    </row>
    <row r="141" spans="1:23" x14ac:dyDescent="0.2">
      <c r="A141" s="130">
        <v>470</v>
      </c>
      <c r="B141" s="72">
        <f>+A141-C141</f>
        <v>0</v>
      </c>
      <c r="C141" s="57">
        <v>470</v>
      </c>
      <c r="D141" s="59" t="s">
        <v>205</v>
      </c>
      <c r="E141" s="24">
        <v>10159.620000000001</v>
      </c>
      <c r="F141" s="24" t="str">
        <f>+VLOOKUP(C141,'[1]Rates Emailed to LEAs 5.27'!$A$10:$H$197,4,FALSE)</f>
        <v>n/a</v>
      </c>
      <c r="G141" s="24">
        <f>+VLOOKUP(C141,'[1]Rates Emailed to LEAs 5.27'!$A$10:$H$197,8,FALSE)</f>
        <v>725.57</v>
      </c>
      <c r="H141" s="23" t="str">
        <f t="shared" si="50"/>
        <v>n/a</v>
      </c>
      <c r="I141" s="23">
        <f t="shared" si="51"/>
        <v>2742.65</v>
      </c>
      <c r="J141" s="23" t="str">
        <f t="shared" si="52"/>
        <v>N/A</v>
      </c>
      <c r="K141" s="23">
        <f t="shared" si="53"/>
        <v>15.24</v>
      </c>
      <c r="L141" s="131">
        <f t="shared" si="54"/>
        <v>8800</v>
      </c>
      <c r="M141" s="20"/>
      <c r="N141" s="20"/>
      <c r="O141" s="104"/>
      <c r="P141" s="105"/>
      <c r="Q141" s="108"/>
      <c r="R141" s="106"/>
      <c r="S141" s="106"/>
      <c r="T141" s="20" t="s">
        <v>25</v>
      </c>
      <c r="U141" s="20" t="s">
        <v>25</v>
      </c>
      <c r="V141" s="20" t="s">
        <v>25</v>
      </c>
      <c r="W141" s="20" t="s">
        <v>25</v>
      </c>
    </row>
    <row r="142" spans="1:23" x14ac:dyDescent="0.2">
      <c r="A142" s="130">
        <v>472</v>
      </c>
      <c r="B142" s="72">
        <f>+A142-C142</f>
        <v>0</v>
      </c>
      <c r="C142" s="57">
        <v>472</v>
      </c>
      <c r="D142" s="59" t="s">
        <v>45</v>
      </c>
      <c r="E142" s="24">
        <v>6451.46</v>
      </c>
      <c r="F142" s="24">
        <f>+VLOOKUP(C142,'[1]Rates Emailed to LEAs 5.27'!$A$10:$H$197,4,FALSE)</f>
        <v>894.26</v>
      </c>
      <c r="G142" s="24">
        <f>+VLOOKUP(C142,'[1]Rates Emailed to LEAs 5.27'!$A$10:$H$197,8,FALSE)</f>
        <v>361.39</v>
      </c>
      <c r="H142" s="23">
        <f t="shared" si="50"/>
        <v>3380.3</v>
      </c>
      <c r="I142" s="23">
        <f t="shared" si="51"/>
        <v>1366.05</v>
      </c>
      <c r="J142" s="23">
        <f t="shared" si="52"/>
        <v>18.78</v>
      </c>
      <c r="K142" s="23">
        <f t="shared" si="53"/>
        <v>7.59</v>
      </c>
      <c r="L142" s="131">
        <f t="shared" si="54"/>
        <v>8800</v>
      </c>
      <c r="M142" s="20"/>
      <c r="N142" s="20"/>
      <c r="O142" s="104"/>
      <c r="P142" s="105"/>
      <c r="Q142" s="108"/>
      <c r="R142" s="106"/>
      <c r="S142" s="106"/>
      <c r="T142" s="20" t="s">
        <v>25</v>
      </c>
      <c r="U142" s="20" t="s">
        <v>25</v>
      </c>
      <c r="V142" s="20" t="s">
        <v>25</v>
      </c>
      <c r="W142" s="20" t="s">
        <v>25</v>
      </c>
    </row>
    <row r="143" spans="1:23" x14ac:dyDescent="0.2">
      <c r="A143" s="130">
        <v>473</v>
      </c>
      <c r="B143" s="72">
        <f>+A143-C143</f>
        <v>0</v>
      </c>
      <c r="C143" s="57">
        <v>473</v>
      </c>
      <c r="D143" s="59" t="s">
        <v>44</v>
      </c>
      <c r="E143" s="24">
        <v>5798.21</v>
      </c>
      <c r="F143" s="24">
        <f>+VLOOKUP(C143,'[1]Rates Emailed to LEAs 5.27'!$A$10:$H$197,4,FALSE)</f>
        <v>1075.6199999999999</v>
      </c>
      <c r="G143" s="24">
        <f>+VLOOKUP(C143,'[1]Rates Emailed to LEAs 5.27'!$A$10:$H$197,8,FALSE)</f>
        <v>1246.7</v>
      </c>
      <c r="H143" s="23">
        <f t="shared" si="50"/>
        <v>4065.84</v>
      </c>
      <c r="I143" s="23">
        <f t="shared" si="51"/>
        <v>4712.53</v>
      </c>
      <c r="J143" s="121">
        <f t="shared" ref="J143:J146" si="55">IF(F143="N/A","N/A",ROUND((F143*0.42)/16,2))</f>
        <v>28.24</v>
      </c>
      <c r="K143" s="121">
        <f t="shared" ref="K143:K146" si="56">IF(G143="N/A","N/A",ROUND((G143*0.42)/16,2))</f>
        <v>32.729999999999997</v>
      </c>
      <c r="L143" s="24">
        <v>8800</v>
      </c>
      <c r="M143" s="20"/>
      <c r="N143" s="20"/>
      <c r="O143" s="104"/>
      <c r="P143" s="105"/>
      <c r="Q143" s="108"/>
      <c r="R143" s="106">
        <v>151</v>
      </c>
      <c r="S143" s="106"/>
      <c r="T143" s="20" t="s">
        <v>25</v>
      </c>
      <c r="U143" s="20" t="s">
        <v>25</v>
      </c>
      <c r="V143" s="20" t="s">
        <v>25</v>
      </c>
      <c r="W143" s="20" t="s">
        <v>25</v>
      </c>
    </row>
    <row r="144" spans="1:23" x14ac:dyDescent="0.2">
      <c r="A144" s="130">
        <v>474</v>
      </c>
      <c r="B144" s="72">
        <f>+A144-C144</f>
        <v>0</v>
      </c>
      <c r="C144" s="57">
        <v>474</v>
      </c>
      <c r="D144" s="59" t="s">
        <v>43</v>
      </c>
      <c r="E144" s="24">
        <v>6683.15</v>
      </c>
      <c r="F144" s="24">
        <f>+VLOOKUP(C144,'[1]Rates Emailed to LEAs 5.27'!$A$10:$H$197,4,FALSE)</f>
        <v>860.75</v>
      </c>
      <c r="G144" s="24">
        <f>+VLOOKUP(C144,'[1]Rates Emailed to LEAs 5.27'!$A$10:$H$197,8,FALSE)</f>
        <v>404.51</v>
      </c>
      <c r="H144" s="23">
        <f t="shared" si="50"/>
        <v>3253.64</v>
      </c>
      <c r="I144" s="23">
        <f t="shared" si="51"/>
        <v>1529.05</v>
      </c>
      <c r="J144" s="121">
        <f t="shared" si="55"/>
        <v>22.59</v>
      </c>
      <c r="K144" s="121">
        <f t="shared" si="56"/>
        <v>10.62</v>
      </c>
      <c r="L144" s="24">
        <v>8800</v>
      </c>
      <c r="M144" s="20"/>
      <c r="N144" s="20"/>
      <c r="O144" s="104"/>
      <c r="P144" s="105"/>
      <c r="Q144" s="108"/>
      <c r="R144" s="106">
        <v>6</v>
      </c>
      <c r="S144" s="106"/>
      <c r="T144" s="20" t="s">
        <v>25</v>
      </c>
      <c r="U144" s="20" t="s">
        <v>25</v>
      </c>
      <c r="V144" s="20" t="s">
        <v>25</v>
      </c>
      <c r="W144" s="20" t="s">
        <v>25</v>
      </c>
    </row>
    <row r="145" spans="1:23" x14ac:dyDescent="0.2">
      <c r="A145" s="130">
        <v>475</v>
      </c>
      <c r="B145" s="72">
        <f>+A145-C145</f>
        <v>0</v>
      </c>
      <c r="C145" s="57">
        <v>475</v>
      </c>
      <c r="D145" s="59" t="s">
        <v>42</v>
      </c>
      <c r="E145" s="24">
        <v>6148.49</v>
      </c>
      <c r="F145" s="24">
        <f>+VLOOKUP(C145,'[1]Rates Emailed to LEAs 5.27'!$A$10:$H$197,4,FALSE)</f>
        <v>761.57</v>
      </c>
      <c r="G145" s="24">
        <f>+VLOOKUP(C145,'[1]Rates Emailed to LEAs 5.27'!$A$10:$H$197,8,FALSE)</f>
        <v>1087.04</v>
      </c>
      <c r="H145" s="23">
        <f t="shared" si="50"/>
        <v>2878.73</v>
      </c>
      <c r="I145" s="23">
        <f t="shared" si="51"/>
        <v>4109.01</v>
      </c>
      <c r="J145" s="121">
        <f t="shared" si="55"/>
        <v>19.989999999999998</v>
      </c>
      <c r="K145" s="121">
        <f t="shared" si="56"/>
        <v>28.53</v>
      </c>
      <c r="L145" s="24">
        <v>8800</v>
      </c>
      <c r="M145" s="20"/>
      <c r="N145" s="20"/>
      <c r="O145" s="104"/>
      <c r="P145" s="105"/>
      <c r="Q145" s="108"/>
      <c r="R145" s="106"/>
      <c r="S145" s="106"/>
      <c r="T145" s="20" t="s">
        <v>25</v>
      </c>
      <c r="U145" s="20" t="s">
        <v>25</v>
      </c>
      <c r="V145" s="20" t="s">
        <v>25</v>
      </c>
      <c r="W145" s="20" t="s">
        <v>25</v>
      </c>
    </row>
    <row r="146" spans="1:23" x14ac:dyDescent="0.2">
      <c r="A146" s="130">
        <v>477</v>
      </c>
      <c r="B146" s="72">
        <f>+A146-C146</f>
        <v>0</v>
      </c>
      <c r="C146" s="57">
        <v>477</v>
      </c>
      <c r="D146" s="59" t="s">
        <v>41</v>
      </c>
      <c r="E146" s="24">
        <v>5708.33</v>
      </c>
      <c r="F146" s="24">
        <f>+VLOOKUP(C146,'[1]Rates Emailed to LEAs 5.27'!$A$10:$H$197,4,FALSE)</f>
        <v>720.36</v>
      </c>
      <c r="G146" s="24">
        <f>+VLOOKUP(C146,'[1]Rates Emailed to LEAs 5.27'!$A$10:$H$197,8,FALSE)</f>
        <v>266.79000000000002</v>
      </c>
      <c r="H146" s="23">
        <f t="shared" si="50"/>
        <v>2722.96</v>
      </c>
      <c r="I146" s="23">
        <f t="shared" si="51"/>
        <v>1008.47</v>
      </c>
      <c r="J146" s="121">
        <f t="shared" si="55"/>
        <v>18.91</v>
      </c>
      <c r="K146" s="121">
        <f t="shared" si="56"/>
        <v>7</v>
      </c>
      <c r="L146" s="24">
        <v>8800</v>
      </c>
      <c r="M146" s="20"/>
      <c r="N146" s="20"/>
      <c r="O146" s="104"/>
      <c r="P146" s="105"/>
      <c r="Q146" s="108"/>
      <c r="R146" s="106">
        <v>397</v>
      </c>
      <c r="S146" s="106"/>
      <c r="T146" s="20" t="s">
        <v>25</v>
      </c>
      <c r="U146" s="20" t="s">
        <v>25</v>
      </c>
      <c r="V146" s="20" t="s">
        <v>25</v>
      </c>
      <c r="W146" s="20" t="s">
        <v>25</v>
      </c>
    </row>
    <row r="147" spans="1:23" x14ac:dyDescent="0.2">
      <c r="A147" s="130">
        <v>478</v>
      </c>
      <c r="B147" s="72">
        <f>+A147-C147</f>
        <v>0</v>
      </c>
      <c r="C147" s="57">
        <v>478</v>
      </c>
      <c r="D147" s="59" t="s">
        <v>40</v>
      </c>
      <c r="E147" s="24">
        <v>6429.12</v>
      </c>
      <c r="F147" s="24">
        <f>+VLOOKUP(C147,'[1]Rates Emailed to LEAs 5.27'!$A$10:$H$197,4,FALSE)</f>
        <v>840.3</v>
      </c>
      <c r="G147" s="24">
        <f>+VLOOKUP(C147,'[1]Rates Emailed to LEAs 5.27'!$A$10:$H$197,8,FALSE)</f>
        <v>602.34</v>
      </c>
      <c r="H147" s="23">
        <f t="shared" si="50"/>
        <v>3176.33</v>
      </c>
      <c r="I147" s="23">
        <f t="shared" si="51"/>
        <v>2276.85</v>
      </c>
      <c r="J147" s="23">
        <f t="shared" si="52"/>
        <v>17.649999999999999</v>
      </c>
      <c r="K147" s="23">
        <f t="shared" si="53"/>
        <v>12.65</v>
      </c>
      <c r="L147" s="131">
        <f>$L$8</f>
        <v>8800</v>
      </c>
      <c r="M147" s="20"/>
      <c r="N147" s="20"/>
      <c r="O147" s="104"/>
      <c r="P147" s="105"/>
      <c r="Q147" s="108"/>
      <c r="R147" s="106"/>
      <c r="S147" s="106"/>
      <c r="T147" s="20" t="s">
        <v>25</v>
      </c>
      <c r="U147" s="20" t="s">
        <v>25</v>
      </c>
      <c r="V147" s="20" t="s">
        <v>25</v>
      </c>
      <c r="W147" s="20" t="s">
        <v>25</v>
      </c>
    </row>
    <row r="148" spans="1:23" x14ac:dyDescent="0.2">
      <c r="A148" s="130">
        <v>479</v>
      </c>
      <c r="B148" s="72">
        <f>+A148-C148</f>
        <v>0</v>
      </c>
      <c r="C148" s="57">
        <v>479</v>
      </c>
      <c r="D148" s="59" t="s">
        <v>39</v>
      </c>
      <c r="E148" s="24">
        <v>7422.94</v>
      </c>
      <c r="F148" s="24">
        <f>+VLOOKUP(C148,'[1]Rates Emailed to LEAs 5.27'!$A$10:$H$197,4,FALSE)</f>
        <v>933.58</v>
      </c>
      <c r="G148" s="24">
        <f>+VLOOKUP(C148,'[1]Rates Emailed to LEAs 5.27'!$A$10:$H$197,8,FALSE)</f>
        <v>316.99</v>
      </c>
      <c r="H148" s="23">
        <f t="shared" si="50"/>
        <v>3528.93</v>
      </c>
      <c r="I148" s="23">
        <f t="shared" si="51"/>
        <v>1198.22</v>
      </c>
      <c r="J148" s="121">
        <f t="shared" ref="J148:J149" si="57">IF(F148="N/A","N/A",ROUND((F148*0.42)/16,2))</f>
        <v>24.51</v>
      </c>
      <c r="K148" s="121">
        <f t="shared" ref="K148:K149" si="58">IF(G148="N/A","N/A",ROUND((G148*0.42)/16,2))</f>
        <v>8.32</v>
      </c>
      <c r="L148" s="24">
        <v>8800</v>
      </c>
      <c r="M148" s="20"/>
      <c r="N148" s="20"/>
      <c r="O148" s="104"/>
      <c r="P148" s="105"/>
      <c r="Q148" s="108"/>
      <c r="R148" s="106">
        <v>288</v>
      </c>
      <c r="S148" s="106"/>
      <c r="T148" s="20" t="s">
        <v>25</v>
      </c>
      <c r="U148" s="20" t="s">
        <v>25</v>
      </c>
      <c r="V148" s="20" t="s">
        <v>25</v>
      </c>
      <c r="W148" s="20" t="s">
        <v>25</v>
      </c>
    </row>
    <row r="149" spans="1:23" x14ac:dyDescent="0.2">
      <c r="A149" s="130">
        <v>480</v>
      </c>
      <c r="B149" s="72">
        <f>+A149-C149</f>
        <v>0</v>
      </c>
      <c r="C149" s="57">
        <v>480</v>
      </c>
      <c r="D149" s="59" t="s">
        <v>38</v>
      </c>
      <c r="E149" s="24">
        <v>6683.48</v>
      </c>
      <c r="F149" s="24">
        <f>+VLOOKUP(C149,'[1]Rates Emailed to LEAs 5.27'!$A$10:$H$197,4,FALSE)</f>
        <v>555.41</v>
      </c>
      <c r="G149" s="24">
        <f>+VLOOKUP(C149,'[1]Rates Emailed to LEAs 5.27'!$A$10:$H$197,8,FALSE)</f>
        <v>758.34</v>
      </c>
      <c r="H149" s="23">
        <f t="shared" si="50"/>
        <v>2099.4499999999998</v>
      </c>
      <c r="I149" s="23">
        <f t="shared" si="51"/>
        <v>2866.53</v>
      </c>
      <c r="J149" s="121">
        <f t="shared" si="57"/>
        <v>14.58</v>
      </c>
      <c r="K149" s="121">
        <f t="shared" si="58"/>
        <v>19.91</v>
      </c>
      <c r="L149" s="24">
        <v>8800</v>
      </c>
      <c r="M149" s="20"/>
      <c r="N149" s="20"/>
      <c r="O149" s="104"/>
      <c r="P149" s="105"/>
      <c r="Q149" s="108"/>
      <c r="R149" s="106"/>
      <c r="S149" s="106"/>
      <c r="T149" s="20" t="s">
        <v>25</v>
      </c>
      <c r="U149" s="20" t="s">
        <v>25</v>
      </c>
      <c r="V149" s="20" t="s">
        <v>25</v>
      </c>
      <c r="W149" s="20" t="s">
        <v>25</v>
      </c>
    </row>
    <row r="150" spans="1:23" x14ac:dyDescent="0.2">
      <c r="A150" s="130">
        <v>481</v>
      </c>
      <c r="B150" s="72">
        <f>+A150-C150</f>
        <v>0</v>
      </c>
      <c r="C150" s="57">
        <v>481</v>
      </c>
      <c r="D150" s="59" t="s">
        <v>37</v>
      </c>
      <c r="E150" s="24">
        <v>5751.35</v>
      </c>
      <c r="F150" s="24">
        <f>+VLOOKUP(C150,'[1]Rates Emailed to LEAs 5.27'!$A$10:$H$197,4,FALSE)</f>
        <v>603.67999999999995</v>
      </c>
      <c r="G150" s="24">
        <f>+VLOOKUP(C150,'[1]Rates Emailed to LEAs 5.27'!$A$10:$H$197,8,FALSE)</f>
        <v>996.29</v>
      </c>
      <c r="H150" s="23">
        <f t="shared" si="50"/>
        <v>2281.91</v>
      </c>
      <c r="I150" s="23">
        <f t="shared" si="51"/>
        <v>3765.98</v>
      </c>
      <c r="J150" s="23">
        <f t="shared" si="52"/>
        <v>12.68</v>
      </c>
      <c r="K150" s="23">
        <f t="shared" si="53"/>
        <v>20.92</v>
      </c>
      <c r="L150" s="131">
        <f t="shared" ref="L150:L152" si="59">$L$8</f>
        <v>8800</v>
      </c>
      <c r="M150" s="20"/>
      <c r="N150" s="20"/>
      <c r="O150" s="104"/>
      <c r="P150" s="105"/>
      <c r="Q150" s="108"/>
      <c r="R150" s="106"/>
      <c r="S150" s="106"/>
      <c r="T150" s="20" t="s">
        <v>25</v>
      </c>
      <c r="U150" s="20" t="s">
        <v>25</v>
      </c>
      <c r="V150" s="20" t="s">
        <v>25</v>
      </c>
      <c r="W150" s="20" t="s">
        <v>25</v>
      </c>
    </row>
    <row r="151" spans="1:23" x14ac:dyDescent="0.2">
      <c r="A151" s="130">
        <v>482</v>
      </c>
      <c r="B151" s="72">
        <f>+A151-C151</f>
        <v>0</v>
      </c>
      <c r="C151" s="57">
        <v>482</v>
      </c>
      <c r="D151" s="59" t="s">
        <v>36</v>
      </c>
      <c r="E151" s="24">
        <v>5959.02</v>
      </c>
      <c r="F151" s="24">
        <f>+VLOOKUP(C151,'[1]Rates Emailed to LEAs 5.27'!$A$10:$H$197,4,FALSE)</f>
        <v>663.74</v>
      </c>
      <c r="G151" s="24">
        <f>+VLOOKUP(C151,'[1]Rates Emailed to LEAs 5.27'!$A$10:$H$197,8,FALSE)</f>
        <v>931.4</v>
      </c>
      <c r="H151" s="23">
        <f t="shared" si="50"/>
        <v>2508.94</v>
      </c>
      <c r="I151" s="23">
        <f t="shared" si="51"/>
        <v>3520.69</v>
      </c>
      <c r="J151" s="23">
        <f t="shared" si="52"/>
        <v>13.94</v>
      </c>
      <c r="K151" s="23">
        <f t="shared" si="53"/>
        <v>19.559999999999999</v>
      </c>
      <c r="L151" s="131">
        <f t="shared" si="59"/>
        <v>8800</v>
      </c>
      <c r="M151" s="20"/>
      <c r="N151" s="20"/>
      <c r="O151" s="104"/>
      <c r="P151" s="105"/>
      <c r="Q151" s="108"/>
      <c r="R151" s="106"/>
      <c r="S151" s="106"/>
      <c r="T151" s="20" t="s">
        <v>25</v>
      </c>
      <c r="U151" s="20" t="s">
        <v>25</v>
      </c>
      <c r="V151" s="20" t="s">
        <v>25</v>
      </c>
      <c r="W151" s="20" t="s">
        <v>25</v>
      </c>
    </row>
    <row r="152" spans="1:23" x14ac:dyDescent="0.2">
      <c r="A152" s="130">
        <v>483</v>
      </c>
      <c r="B152" s="72">
        <f>+A152-C152</f>
        <v>0</v>
      </c>
      <c r="C152" s="57">
        <v>483</v>
      </c>
      <c r="D152" s="59" t="s">
        <v>35</v>
      </c>
      <c r="E152" s="24">
        <v>5926.5</v>
      </c>
      <c r="F152" s="24">
        <f>+VLOOKUP(C152,'[1]Rates Emailed to LEAs 5.27'!$A$10:$H$197,4,FALSE)</f>
        <v>1149</v>
      </c>
      <c r="G152" s="24">
        <f>+VLOOKUP(C152,'[1]Rates Emailed to LEAs 5.27'!$A$10:$H$197,8,FALSE)</f>
        <v>483.45</v>
      </c>
      <c r="H152" s="23">
        <f t="shared" si="50"/>
        <v>4343.22</v>
      </c>
      <c r="I152" s="23">
        <f t="shared" si="51"/>
        <v>1827.44</v>
      </c>
      <c r="J152" s="23">
        <f t="shared" si="52"/>
        <v>24.13</v>
      </c>
      <c r="K152" s="23">
        <f t="shared" si="53"/>
        <v>10.15</v>
      </c>
      <c r="L152" s="131">
        <f t="shared" si="59"/>
        <v>8800</v>
      </c>
      <c r="M152" s="20"/>
      <c r="N152" s="20"/>
      <c r="O152" s="104"/>
      <c r="P152" s="105"/>
      <c r="Q152" s="108"/>
      <c r="R152" s="106"/>
      <c r="S152" s="106"/>
      <c r="T152" s="20" t="s">
        <v>25</v>
      </c>
      <c r="U152" s="20" t="s">
        <v>25</v>
      </c>
      <c r="V152" s="20" t="s">
        <v>25</v>
      </c>
      <c r="W152" s="20" t="s">
        <v>25</v>
      </c>
    </row>
    <row r="153" spans="1:23" x14ac:dyDescent="0.2">
      <c r="A153" s="130">
        <v>485</v>
      </c>
      <c r="B153" s="72">
        <f>+A153-C153</f>
        <v>0</v>
      </c>
      <c r="C153" s="57">
        <v>485</v>
      </c>
      <c r="D153" s="59" t="s">
        <v>206</v>
      </c>
      <c r="E153" s="24">
        <v>9368.69</v>
      </c>
      <c r="F153" s="24" t="str">
        <f>+VLOOKUP(C153,'[1]Rates Emailed to LEAs 5.27'!$A$10:$H$197,4,FALSE)</f>
        <v>n/a</v>
      </c>
      <c r="G153" s="24">
        <f>+VLOOKUP(C153,'[1]Rates Emailed to LEAs 5.27'!$A$10:$H$197,8,FALSE)</f>
        <v>1053.54</v>
      </c>
      <c r="H153" s="23" t="str">
        <f t="shared" si="50"/>
        <v>n/a</v>
      </c>
      <c r="I153" s="23">
        <f t="shared" si="51"/>
        <v>3982.38</v>
      </c>
      <c r="J153" s="121" t="str">
        <f t="shared" ref="J153:J154" si="60">IF(F153="N/A","N/A",ROUND((F153*0.42)/16,2))</f>
        <v>N/A</v>
      </c>
      <c r="K153" s="121">
        <f t="shared" ref="K153:K154" si="61">IF(G153="N/A","N/A",ROUND((G153*0.42)/16,2))</f>
        <v>27.66</v>
      </c>
      <c r="L153" s="24">
        <v>8800</v>
      </c>
      <c r="M153" s="20"/>
      <c r="N153" s="20"/>
      <c r="O153" s="104"/>
      <c r="P153" s="105"/>
      <c r="Q153" s="108"/>
      <c r="R153" s="106"/>
      <c r="S153" s="106"/>
      <c r="T153" s="20" t="s">
        <v>25</v>
      </c>
      <c r="U153" s="20" t="s">
        <v>25</v>
      </c>
      <c r="V153" s="20" t="s">
        <v>25</v>
      </c>
      <c r="W153" s="20" t="s">
        <v>25</v>
      </c>
    </row>
    <row r="154" spans="1:23" x14ac:dyDescent="0.2">
      <c r="A154" s="130">
        <v>486</v>
      </c>
      <c r="B154" s="72">
        <f>+A154-C154</f>
        <v>0</v>
      </c>
      <c r="C154" s="57">
        <v>486</v>
      </c>
      <c r="D154" s="61" t="s">
        <v>34</v>
      </c>
      <c r="E154" s="24">
        <v>7908.12</v>
      </c>
      <c r="F154" s="24">
        <f>+VLOOKUP(C154,'[1]Rates Emailed to LEAs 5.27'!$A$10:$H$197,4,FALSE)</f>
        <v>958.59</v>
      </c>
      <c r="G154" s="24" t="str">
        <f>+VLOOKUP(C154,'[1]Rates Emailed to LEAs 5.27'!$A$10:$H$197,8,FALSE)</f>
        <v>n/a</v>
      </c>
      <c r="H154" s="23">
        <f t="shared" si="50"/>
        <v>3623.47</v>
      </c>
      <c r="I154" s="23" t="str">
        <f t="shared" si="51"/>
        <v>n/a</v>
      </c>
      <c r="J154" s="121">
        <f t="shared" si="60"/>
        <v>25.16</v>
      </c>
      <c r="K154" s="121" t="str">
        <f t="shared" si="61"/>
        <v>N/A</v>
      </c>
      <c r="L154" s="24">
        <v>8800</v>
      </c>
      <c r="M154" s="20"/>
      <c r="N154" s="20"/>
      <c r="O154" s="104"/>
      <c r="P154" s="105"/>
      <c r="Q154" s="108"/>
      <c r="R154" s="106"/>
      <c r="S154" s="106"/>
      <c r="T154" s="20" t="s">
        <v>25</v>
      </c>
      <c r="U154" s="20" t="s">
        <v>25</v>
      </c>
      <c r="V154" s="20" t="s">
        <v>25</v>
      </c>
      <c r="W154" s="20" t="s">
        <v>25</v>
      </c>
    </row>
    <row r="155" spans="1:23" x14ac:dyDescent="0.2">
      <c r="A155" s="130">
        <v>487</v>
      </c>
      <c r="B155" s="72">
        <f>+A155-C155</f>
        <v>0</v>
      </c>
      <c r="C155" s="57">
        <v>487</v>
      </c>
      <c r="D155" s="59" t="s">
        <v>33</v>
      </c>
      <c r="E155" s="24">
        <v>9245.49</v>
      </c>
      <c r="F155" s="24">
        <f>+VLOOKUP(C155,'[1]Rates Emailed to LEAs 5.27'!$A$10:$H$197,4,FALSE)</f>
        <v>415.14</v>
      </c>
      <c r="G155" s="24">
        <f>+VLOOKUP(C155,'[1]Rates Emailed to LEAs 5.27'!$A$10:$H$197,8,FALSE)</f>
        <v>1009.22</v>
      </c>
      <c r="H155" s="23">
        <f t="shared" si="50"/>
        <v>1569.23</v>
      </c>
      <c r="I155" s="23">
        <f t="shared" si="51"/>
        <v>3814.85</v>
      </c>
      <c r="J155" s="23">
        <f t="shared" si="52"/>
        <v>8.7200000000000006</v>
      </c>
      <c r="K155" s="23">
        <f t="shared" si="53"/>
        <v>21.19</v>
      </c>
      <c r="L155" s="131">
        <f t="shared" ref="L155:L161" si="62">$L$8</f>
        <v>8800</v>
      </c>
      <c r="M155" s="20"/>
      <c r="N155" s="20"/>
      <c r="O155" s="104"/>
      <c r="P155" s="105"/>
      <c r="Q155" s="108"/>
      <c r="R155" s="106"/>
      <c r="S155" s="106"/>
      <c r="T155" s="20" t="s">
        <v>25</v>
      </c>
      <c r="U155" s="20" t="s">
        <v>25</v>
      </c>
      <c r="V155" s="20" t="s">
        <v>25</v>
      </c>
      <c r="W155" s="20" t="s">
        <v>25</v>
      </c>
    </row>
    <row r="156" spans="1:23" x14ac:dyDescent="0.2">
      <c r="A156" s="130">
        <v>488</v>
      </c>
      <c r="B156" s="72">
        <f>+A156-C156</f>
        <v>0</v>
      </c>
      <c r="C156" s="57">
        <v>488</v>
      </c>
      <c r="D156" s="59" t="s">
        <v>207</v>
      </c>
      <c r="E156" s="24">
        <v>7274.33</v>
      </c>
      <c r="F156" s="24">
        <f>+VLOOKUP(C156,'[1]Rates Emailed to LEAs 5.27'!$A$10:$H$197,4,FALSE)</f>
        <v>825.37</v>
      </c>
      <c r="G156" s="24">
        <f>+VLOOKUP(C156,'[1]Rates Emailed to LEAs 5.27'!$A$10:$H$197,8,FALSE)</f>
        <v>902.63</v>
      </c>
      <c r="H156" s="23">
        <f t="shared" si="50"/>
        <v>3119.9</v>
      </c>
      <c r="I156" s="23">
        <f t="shared" si="51"/>
        <v>3411.94</v>
      </c>
      <c r="J156" s="23">
        <f t="shared" si="52"/>
        <v>17.329999999999998</v>
      </c>
      <c r="K156" s="23">
        <f t="shared" si="53"/>
        <v>18.96</v>
      </c>
      <c r="L156" s="131">
        <f t="shared" si="62"/>
        <v>8800</v>
      </c>
      <c r="M156" s="20"/>
      <c r="N156" s="20"/>
      <c r="O156" s="104"/>
      <c r="P156" s="105"/>
      <c r="Q156" s="108"/>
      <c r="R156" s="106"/>
      <c r="S156" s="106"/>
      <c r="T156" s="20" t="s">
        <v>25</v>
      </c>
      <c r="U156" s="20" t="s">
        <v>25</v>
      </c>
      <c r="V156" s="20" t="s">
        <v>25</v>
      </c>
      <c r="W156" s="20" t="s">
        <v>25</v>
      </c>
    </row>
    <row r="157" spans="1:23" x14ac:dyDescent="0.2">
      <c r="A157" s="130">
        <v>489</v>
      </c>
      <c r="B157" s="72">
        <f>+A157-C157</f>
        <v>0</v>
      </c>
      <c r="C157" s="57">
        <v>489</v>
      </c>
      <c r="D157" s="59" t="s">
        <v>196</v>
      </c>
      <c r="E157" s="24">
        <v>8841.93</v>
      </c>
      <c r="F157" s="24" t="str">
        <f>+VLOOKUP(C157,'[1]Rates Emailed to LEAs 5.27'!$A$10:$H$197,4,FALSE)</f>
        <v>n/a</v>
      </c>
      <c r="G157" s="24">
        <f>+VLOOKUP(C157,'[1]Rates Emailed to LEAs 5.27'!$A$10:$H$197,8,FALSE)</f>
        <v>822.75</v>
      </c>
      <c r="H157" s="23" t="str">
        <f t="shared" si="50"/>
        <v>n/a</v>
      </c>
      <c r="I157" s="23">
        <f t="shared" si="51"/>
        <v>3110</v>
      </c>
      <c r="J157" s="23" t="str">
        <f t="shared" si="52"/>
        <v>N/A</v>
      </c>
      <c r="K157" s="23">
        <f t="shared" si="53"/>
        <v>17.28</v>
      </c>
      <c r="L157" s="131">
        <f t="shared" si="62"/>
        <v>8800</v>
      </c>
      <c r="M157" s="20"/>
      <c r="N157" s="20"/>
      <c r="O157" s="104"/>
      <c r="P157" s="105"/>
      <c r="Q157" s="108"/>
      <c r="R157" s="106"/>
      <c r="S157" s="106">
        <v>70</v>
      </c>
      <c r="T157" s="20" t="s">
        <v>25</v>
      </c>
      <c r="U157" s="20" t="s">
        <v>25</v>
      </c>
      <c r="V157" s="20" t="s">
        <v>25</v>
      </c>
      <c r="W157" s="20" t="s">
        <v>25</v>
      </c>
    </row>
    <row r="158" spans="1:23" x14ac:dyDescent="0.2">
      <c r="A158" s="130">
        <v>491</v>
      </c>
      <c r="B158" s="72">
        <f>+A158-C158</f>
        <v>0</v>
      </c>
      <c r="C158" s="57">
        <v>491</v>
      </c>
      <c r="D158" s="59" t="s">
        <v>264</v>
      </c>
      <c r="E158" s="24">
        <v>7119.31</v>
      </c>
      <c r="F158" s="24">
        <f>+VLOOKUP(C158,'[1]Rates Emailed to LEAs 5.27'!$A$10:$H$197,4,FALSE)</f>
        <v>325.85000000000002</v>
      </c>
      <c r="G158" s="24">
        <f>+VLOOKUP(C158,'[1]Rates Emailed to LEAs 5.27'!$A$10:$H$197,8,FALSE)</f>
        <v>1034.07</v>
      </c>
      <c r="H158" s="23">
        <f t="shared" si="50"/>
        <v>1231.71</v>
      </c>
      <c r="I158" s="23">
        <f t="shared" si="51"/>
        <v>3908.78</v>
      </c>
      <c r="J158" s="23">
        <f t="shared" si="52"/>
        <v>6.84</v>
      </c>
      <c r="K158" s="23">
        <f t="shared" si="53"/>
        <v>21.72</v>
      </c>
      <c r="L158" s="131">
        <f t="shared" si="62"/>
        <v>8800</v>
      </c>
      <c r="M158" s="20"/>
      <c r="N158" s="20"/>
      <c r="O158" s="104"/>
      <c r="P158" s="105"/>
      <c r="Q158" s="108"/>
      <c r="R158" s="106"/>
      <c r="S158" s="106">
        <v>122</v>
      </c>
      <c r="T158" s="20" t="s">
        <v>25</v>
      </c>
      <c r="U158" s="20" t="s">
        <v>25</v>
      </c>
      <c r="V158" s="20" t="s">
        <v>25</v>
      </c>
      <c r="W158" s="20" t="s">
        <v>25</v>
      </c>
    </row>
    <row r="159" spans="1:23" x14ac:dyDescent="0.2">
      <c r="A159" s="130">
        <v>492</v>
      </c>
      <c r="B159" s="72">
        <f>+A159-C159</f>
        <v>0</v>
      </c>
      <c r="C159" s="57">
        <v>492</v>
      </c>
      <c r="D159" s="59" t="s">
        <v>208</v>
      </c>
      <c r="E159" s="24">
        <v>6339.51</v>
      </c>
      <c r="F159" s="24">
        <f>+VLOOKUP(C159,'[1]Rates Emailed to LEAs 5.27'!$A$10:$H$197,4,FALSE)</f>
        <v>862.76</v>
      </c>
      <c r="G159" s="24">
        <f>+VLOOKUP(C159,'[1]Rates Emailed to LEAs 5.27'!$A$10:$H$197,8,FALSE)</f>
        <v>919.07</v>
      </c>
      <c r="H159" s="23">
        <f t="shared" si="50"/>
        <v>3261.23</v>
      </c>
      <c r="I159" s="23">
        <f t="shared" si="51"/>
        <v>3474.08</v>
      </c>
      <c r="J159" s="23">
        <f t="shared" si="52"/>
        <v>18.12</v>
      </c>
      <c r="K159" s="23">
        <f t="shared" si="53"/>
        <v>19.3</v>
      </c>
      <c r="L159" s="131">
        <f t="shared" si="62"/>
        <v>8800</v>
      </c>
      <c r="M159" s="20"/>
      <c r="N159" s="20"/>
      <c r="O159" s="104"/>
      <c r="P159" s="105"/>
      <c r="Q159" s="109"/>
      <c r="R159" s="106"/>
      <c r="S159" s="106"/>
      <c r="T159" s="20" t="s">
        <v>25</v>
      </c>
      <c r="U159" s="20" t="s">
        <v>25</v>
      </c>
      <c r="V159" s="20" t="s">
        <v>25</v>
      </c>
      <c r="W159" s="20" t="s">
        <v>25</v>
      </c>
    </row>
    <row r="160" spans="1:23" x14ac:dyDescent="0.2">
      <c r="A160" s="130">
        <v>493</v>
      </c>
      <c r="B160" s="72">
        <f>+A160-C160</f>
        <v>0</v>
      </c>
      <c r="C160" s="57">
        <v>493</v>
      </c>
      <c r="D160" s="59" t="s">
        <v>32</v>
      </c>
      <c r="E160" s="24">
        <v>6106.33</v>
      </c>
      <c r="F160" s="24">
        <f>+VLOOKUP(C160,'[1]Rates Emailed to LEAs 5.27'!$A$10:$H$197,4,FALSE)</f>
        <v>716.77</v>
      </c>
      <c r="G160" s="24">
        <f>+VLOOKUP(C160,'[1]Rates Emailed to LEAs 5.27'!$A$10:$H$197,8,FALSE)</f>
        <v>987.79</v>
      </c>
      <c r="H160" s="23">
        <f t="shared" si="50"/>
        <v>2709.39</v>
      </c>
      <c r="I160" s="23">
        <f t="shared" si="51"/>
        <v>3733.85</v>
      </c>
      <c r="J160" s="23">
        <f t="shared" si="52"/>
        <v>15.05</v>
      </c>
      <c r="K160" s="23">
        <f t="shared" si="53"/>
        <v>20.74</v>
      </c>
      <c r="L160" s="131">
        <f t="shared" si="62"/>
        <v>8800</v>
      </c>
      <c r="M160" s="20"/>
      <c r="N160" s="20"/>
      <c r="O160" s="104"/>
      <c r="P160" s="105"/>
      <c r="Q160" s="108"/>
      <c r="R160" s="106"/>
      <c r="S160" s="106"/>
      <c r="T160" s="20" t="s">
        <v>25</v>
      </c>
      <c r="U160" s="20" t="s">
        <v>25</v>
      </c>
      <c r="V160" s="20" t="s">
        <v>25</v>
      </c>
      <c r="W160" s="20" t="s">
        <v>25</v>
      </c>
    </row>
    <row r="161" spans="1:23" x14ac:dyDescent="0.2">
      <c r="A161" s="130">
        <v>494</v>
      </c>
      <c r="B161" s="72">
        <f>+A161-C161</f>
        <v>0</v>
      </c>
      <c r="C161" s="57">
        <v>494</v>
      </c>
      <c r="D161" s="59" t="s">
        <v>31</v>
      </c>
      <c r="E161" s="24">
        <v>6382.68</v>
      </c>
      <c r="F161" s="24">
        <f>+VLOOKUP(C161,'[1]Rates Emailed to LEAs 5.27'!$A$10:$H$197,4,FALSE)</f>
        <v>735.31</v>
      </c>
      <c r="G161" s="24">
        <f>+VLOOKUP(C161,'[1]Rates Emailed to LEAs 5.27'!$A$10:$H$197,8,FALSE)</f>
        <v>766.58</v>
      </c>
      <c r="H161" s="23">
        <f t="shared" si="50"/>
        <v>2779.47</v>
      </c>
      <c r="I161" s="23">
        <f t="shared" si="51"/>
        <v>2897.67</v>
      </c>
      <c r="J161" s="23">
        <f t="shared" si="52"/>
        <v>15.44</v>
      </c>
      <c r="K161" s="23">
        <f t="shared" si="53"/>
        <v>16.100000000000001</v>
      </c>
      <c r="L161" s="131">
        <f t="shared" si="62"/>
        <v>8800</v>
      </c>
      <c r="M161" s="20"/>
      <c r="N161" s="20"/>
      <c r="O161" s="104"/>
      <c r="P161" s="105"/>
      <c r="Q161" s="108"/>
      <c r="R161" s="106"/>
      <c r="S161" s="106"/>
      <c r="T161" s="20" t="s">
        <v>25</v>
      </c>
      <c r="U161" s="20" t="s">
        <v>25</v>
      </c>
      <c r="V161" s="20" t="s">
        <v>25</v>
      </c>
      <c r="W161" s="20" t="s">
        <v>25</v>
      </c>
    </row>
    <row r="162" spans="1:23" x14ac:dyDescent="0.2">
      <c r="A162" s="130">
        <v>495</v>
      </c>
      <c r="B162" s="72">
        <f>+A162-C162</f>
        <v>0</v>
      </c>
      <c r="C162" s="57">
        <v>495</v>
      </c>
      <c r="D162" s="59" t="s">
        <v>198</v>
      </c>
      <c r="E162" s="24">
        <v>4604.2</v>
      </c>
      <c r="F162" s="24">
        <f>+VLOOKUP(C162,'[1]Rates Emailed to LEAs 5.27'!$A$10:$H$197,4,FALSE)</f>
        <v>723.87</v>
      </c>
      <c r="G162" s="24">
        <f>+VLOOKUP(C162,'[1]Rates Emailed to LEAs 5.27'!$A$10:$H$197,8,FALSE)</f>
        <v>244.35</v>
      </c>
      <c r="H162" s="23">
        <f t="shared" si="50"/>
        <v>2736.23</v>
      </c>
      <c r="I162" s="23">
        <f t="shared" si="51"/>
        <v>923.64</v>
      </c>
      <c r="J162" s="121">
        <f>IF(F162="N/A","N/A",ROUND((F162*0.42)/16,2))</f>
        <v>19</v>
      </c>
      <c r="K162" s="121">
        <f>IF(G162="N/A","N/A",ROUND((G162*0.42)/16,2))</f>
        <v>6.41</v>
      </c>
      <c r="L162" s="24">
        <v>8800</v>
      </c>
      <c r="M162" s="20"/>
      <c r="N162" s="20"/>
      <c r="O162" s="104"/>
      <c r="P162" s="105"/>
      <c r="Q162" s="109"/>
      <c r="R162" s="106"/>
      <c r="S162" s="106"/>
      <c r="T162" s="20" t="s">
        <v>25</v>
      </c>
      <c r="U162" s="20" t="s">
        <v>25</v>
      </c>
      <c r="V162" s="20" t="s">
        <v>25</v>
      </c>
      <c r="W162" s="20" t="s">
        <v>25</v>
      </c>
    </row>
    <row r="163" spans="1:23" x14ac:dyDescent="0.2">
      <c r="A163" s="130">
        <v>496</v>
      </c>
      <c r="B163" s="72">
        <f>+A163-C163</f>
        <v>0</v>
      </c>
      <c r="C163" s="57">
        <v>496</v>
      </c>
      <c r="D163" s="59" t="s">
        <v>30</v>
      </c>
      <c r="E163" s="24">
        <v>5905.67</v>
      </c>
      <c r="F163" s="24">
        <f>+VLOOKUP(C163,'[1]Rates Emailed to LEAs 5.27'!$A$10:$H$197,4,FALSE)</f>
        <v>601.88</v>
      </c>
      <c r="G163" s="24">
        <f>+VLOOKUP(C163,'[1]Rates Emailed to LEAs 5.27'!$A$10:$H$197,8,FALSE)</f>
        <v>685.57</v>
      </c>
      <c r="H163" s="23">
        <f t="shared" si="50"/>
        <v>2275.11</v>
      </c>
      <c r="I163" s="23">
        <f t="shared" si="51"/>
        <v>2591.4499999999998</v>
      </c>
      <c r="J163" s="23">
        <f t="shared" si="52"/>
        <v>12.64</v>
      </c>
      <c r="K163" s="23">
        <f t="shared" si="53"/>
        <v>14.4</v>
      </c>
      <c r="L163" s="131">
        <f>$L$8</f>
        <v>8800</v>
      </c>
      <c r="M163" s="20"/>
      <c r="N163" s="20"/>
      <c r="O163" s="104"/>
      <c r="P163" s="105"/>
      <c r="Q163" s="109"/>
      <c r="R163" s="106"/>
      <c r="S163" s="106"/>
      <c r="T163" s="20" t="s">
        <v>25</v>
      </c>
      <c r="U163" s="20" t="s">
        <v>25</v>
      </c>
      <c r="V163" s="20" t="s">
        <v>25</v>
      </c>
      <c r="W163" s="20" t="s">
        <v>25</v>
      </c>
    </row>
    <row r="164" spans="1:23" x14ac:dyDescent="0.2">
      <c r="A164" s="130">
        <v>497</v>
      </c>
      <c r="B164" s="72">
        <f>+A164-C164</f>
        <v>0</v>
      </c>
      <c r="C164" s="57">
        <v>497</v>
      </c>
      <c r="D164" s="59" t="s">
        <v>209</v>
      </c>
      <c r="E164" s="24">
        <v>7245.92</v>
      </c>
      <c r="F164" s="24" t="str">
        <f>+VLOOKUP(C164,'[1]Rates Emailed to LEAs 5.27'!$A$10:$H$197,4,FALSE)</f>
        <v>n/a</v>
      </c>
      <c r="G164" s="24">
        <f>+VLOOKUP(C164,'[1]Rates Emailed to LEAs 5.27'!$A$10:$H$197,8,FALSE)</f>
        <v>802.35</v>
      </c>
      <c r="H164" s="23" t="str">
        <f t="shared" si="50"/>
        <v>n/a</v>
      </c>
      <c r="I164" s="23">
        <f t="shared" si="51"/>
        <v>3032.88</v>
      </c>
      <c r="J164" s="121" t="str">
        <f>IF(F164="N/A","N/A",ROUND((F164*0.42)/16,2))</f>
        <v>N/A</v>
      </c>
      <c r="K164" s="121">
        <f>IF(G164="N/A","N/A",ROUND((G164*0.42)/16,2))</f>
        <v>21.06</v>
      </c>
      <c r="L164" s="24">
        <v>8800</v>
      </c>
      <c r="M164" s="20"/>
      <c r="N164" s="20"/>
      <c r="O164" s="104"/>
      <c r="P164" s="105"/>
      <c r="Q164" s="108"/>
      <c r="R164" s="106"/>
      <c r="S164" s="106"/>
      <c r="T164" s="20" t="s">
        <v>25</v>
      </c>
      <c r="U164" s="20" t="s">
        <v>25</v>
      </c>
      <c r="V164" s="20" t="s">
        <v>25</v>
      </c>
      <c r="W164" s="20" t="s">
        <v>25</v>
      </c>
    </row>
    <row r="165" spans="1:23" x14ac:dyDescent="0.2">
      <c r="A165" s="130">
        <v>498</v>
      </c>
      <c r="B165" s="72">
        <f>+A165-C165</f>
        <v>0</v>
      </c>
      <c r="C165" s="57">
        <v>498</v>
      </c>
      <c r="D165" s="59" t="s">
        <v>29</v>
      </c>
      <c r="E165" s="24">
        <v>5965.65</v>
      </c>
      <c r="F165" s="24">
        <f>+VLOOKUP(C165,'[1]Rates Emailed to LEAs 5.27'!$A$10:$H$197,4,FALSE)</f>
        <v>521.62</v>
      </c>
      <c r="G165" s="24">
        <f>+VLOOKUP(C165,'[1]Rates Emailed to LEAs 5.27'!$A$10:$H$197,8,FALSE)</f>
        <v>426.05</v>
      </c>
      <c r="H165" s="23">
        <f t="shared" si="50"/>
        <v>1971.72</v>
      </c>
      <c r="I165" s="23">
        <f t="shared" si="51"/>
        <v>1610.47</v>
      </c>
      <c r="J165" s="23">
        <f t="shared" si="52"/>
        <v>10.95</v>
      </c>
      <c r="K165" s="23">
        <f t="shared" si="53"/>
        <v>8.9499999999999993</v>
      </c>
      <c r="L165" s="131">
        <f t="shared" ref="L165:L166" si="63">$L$8</f>
        <v>8800</v>
      </c>
      <c r="M165" s="20"/>
      <c r="N165" s="20"/>
      <c r="O165" s="104"/>
      <c r="P165" s="105"/>
      <c r="Q165" s="108"/>
      <c r="R165" s="106"/>
      <c r="S165" s="106"/>
      <c r="T165" s="20" t="s">
        <v>25</v>
      </c>
      <c r="U165" s="20" t="s">
        <v>25</v>
      </c>
      <c r="V165" s="20" t="s">
        <v>25</v>
      </c>
      <c r="W165" s="20" t="s">
        <v>25</v>
      </c>
    </row>
    <row r="166" spans="1:23" x14ac:dyDescent="0.2">
      <c r="A166" s="130">
        <v>499</v>
      </c>
      <c r="B166" s="72">
        <f>+A166-C166</f>
        <v>0</v>
      </c>
      <c r="C166" s="57">
        <v>499</v>
      </c>
      <c r="D166" s="59" t="s">
        <v>28</v>
      </c>
      <c r="E166" s="24">
        <v>4898.45</v>
      </c>
      <c r="F166" s="24">
        <f>+VLOOKUP(C166,'[1]Rates Emailed to LEAs 5.27'!$A$10:$H$197,4,FALSE)</f>
        <v>643.86</v>
      </c>
      <c r="G166" s="24" t="str">
        <f>+VLOOKUP(C166,'[1]Rates Emailed to LEAs 5.27'!$A$10:$H$197,8,FALSE)</f>
        <v>n/a</v>
      </c>
      <c r="H166" s="23">
        <f t="shared" si="50"/>
        <v>2433.79</v>
      </c>
      <c r="I166" s="23" t="str">
        <f t="shared" si="51"/>
        <v>n/a</v>
      </c>
      <c r="J166" s="23">
        <f t="shared" si="52"/>
        <v>13.52</v>
      </c>
      <c r="K166" s="23" t="str">
        <f t="shared" si="53"/>
        <v>N/A</v>
      </c>
      <c r="L166" s="131">
        <f t="shared" si="63"/>
        <v>8800</v>
      </c>
      <c r="M166" s="20"/>
      <c r="N166" s="20"/>
      <c r="O166" s="104"/>
      <c r="P166" s="105"/>
      <c r="Q166" s="108"/>
      <c r="R166" s="106"/>
      <c r="S166" s="106"/>
      <c r="T166" s="20" t="s">
        <v>25</v>
      </c>
      <c r="U166" s="20" t="s">
        <v>25</v>
      </c>
      <c r="V166" s="20" t="s">
        <v>25</v>
      </c>
      <c r="W166" s="20" t="s">
        <v>25</v>
      </c>
    </row>
    <row r="167" spans="1:23" x14ac:dyDescent="0.2">
      <c r="A167" s="130">
        <v>508</v>
      </c>
      <c r="B167" s="72">
        <f>+A167-C167</f>
        <v>0</v>
      </c>
      <c r="C167" s="57">
        <v>508</v>
      </c>
      <c r="D167" s="59" t="s">
        <v>187</v>
      </c>
      <c r="E167" s="24">
        <v>5653.63</v>
      </c>
      <c r="F167" s="24">
        <f>+VLOOKUP(C167,'[1]Rates Emailed to LEAs 5.27'!$A$10:$H$197,4,FALSE)</f>
        <v>803.09</v>
      </c>
      <c r="G167" s="24">
        <f>+VLOOKUP(C167,'[1]Rates Emailed to LEAs 5.27'!$A$10:$H$197,8,FALSE)</f>
        <v>662.41</v>
      </c>
      <c r="H167" s="23">
        <f t="shared" si="50"/>
        <v>3035.68</v>
      </c>
      <c r="I167" s="23">
        <f t="shared" si="51"/>
        <v>2503.91</v>
      </c>
      <c r="J167" s="121">
        <f>IF(F167="N/A","N/A",ROUND((F167*0.42)/16,2))</f>
        <v>21.08</v>
      </c>
      <c r="K167" s="121">
        <f>IF(G167="N/A","N/A",ROUND((G167*0.42)/16,2))</f>
        <v>17.39</v>
      </c>
      <c r="L167" s="24">
        <v>8800</v>
      </c>
      <c r="M167" s="20"/>
      <c r="N167" s="20"/>
      <c r="O167" s="104"/>
      <c r="P167" s="105"/>
      <c r="Q167" s="108"/>
      <c r="R167" s="106"/>
      <c r="S167" s="106"/>
      <c r="T167" s="20" t="s">
        <v>25</v>
      </c>
      <c r="U167" s="20" t="s">
        <v>25</v>
      </c>
      <c r="V167" s="20" t="s">
        <v>25</v>
      </c>
      <c r="W167" s="20" t="s">
        <v>25</v>
      </c>
    </row>
    <row r="168" spans="1:23" x14ac:dyDescent="0.2">
      <c r="A168" s="130">
        <v>511</v>
      </c>
      <c r="B168" s="72">
        <f>+A168-C168</f>
        <v>0</v>
      </c>
      <c r="C168" s="57">
        <v>511</v>
      </c>
      <c r="D168" s="59" t="s">
        <v>210</v>
      </c>
      <c r="E168" s="24">
        <v>4962.9399999999996</v>
      </c>
      <c r="F168" s="24">
        <f>+VLOOKUP(C168,'[1]Rates Emailed to LEAs 5.27'!$A$10:$H$197,4,FALSE)</f>
        <v>655.14</v>
      </c>
      <c r="G168" s="24">
        <f>+VLOOKUP(C168,'[1]Rates Emailed to LEAs 5.27'!$A$10:$H$197,8,FALSE)</f>
        <v>603.02</v>
      </c>
      <c r="H168" s="23">
        <f t="shared" si="50"/>
        <v>2476.4299999999998</v>
      </c>
      <c r="I168" s="23">
        <f t="shared" si="51"/>
        <v>2279.42</v>
      </c>
      <c r="J168" s="23">
        <f t="shared" si="52"/>
        <v>13.76</v>
      </c>
      <c r="K168" s="23">
        <f t="shared" si="53"/>
        <v>12.66</v>
      </c>
      <c r="L168" s="131">
        <f t="shared" ref="L168:L170" si="64">$L$8</f>
        <v>8800</v>
      </c>
      <c r="M168" s="20"/>
      <c r="N168" s="20"/>
      <c r="O168" s="104"/>
      <c r="P168" s="105"/>
      <c r="Q168" s="108"/>
      <c r="R168" s="106"/>
      <c r="S168" s="106"/>
      <c r="T168" s="20" t="s">
        <v>25</v>
      </c>
      <c r="U168" s="20" t="s">
        <v>25</v>
      </c>
      <c r="V168" s="20" t="s">
        <v>25</v>
      </c>
      <c r="W168" s="20" t="s">
        <v>25</v>
      </c>
    </row>
    <row r="169" spans="1:23" x14ac:dyDescent="0.2">
      <c r="A169" s="130">
        <v>513</v>
      </c>
      <c r="B169" s="72">
        <f>+A169-C169</f>
        <v>0</v>
      </c>
      <c r="C169" s="57">
        <v>513</v>
      </c>
      <c r="D169" s="59" t="s">
        <v>27</v>
      </c>
      <c r="E169" s="24">
        <v>6650.41</v>
      </c>
      <c r="F169" s="24">
        <f>+VLOOKUP(C169,'[1]Rates Emailed to LEAs 5.27'!$A$10:$H$197,4,FALSE)</f>
        <v>852.49</v>
      </c>
      <c r="G169" s="24">
        <f>+VLOOKUP(C169,'[1]Rates Emailed to LEAs 5.27'!$A$10:$H$197,8,FALSE)</f>
        <v>953.42</v>
      </c>
      <c r="H169" s="23">
        <f t="shared" si="50"/>
        <v>3222.41</v>
      </c>
      <c r="I169" s="23">
        <f t="shared" si="51"/>
        <v>3603.93</v>
      </c>
      <c r="J169" s="23">
        <f t="shared" si="52"/>
        <v>17.899999999999999</v>
      </c>
      <c r="K169" s="23">
        <f t="shared" si="53"/>
        <v>20.02</v>
      </c>
      <c r="L169" s="131">
        <f t="shared" si="64"/>
        <v>8800</v>
      </c>
      <c r="M169" s="20"/>
      <c r="N169" s="20"/>
      <c r="O169" s="104"/>
      <c r="P169" s="105"/>
      <c r="Q169" s="108"/>
      <c r="R169" s="106"/>
      <c r="S169" s="106">
        <v>16</v>
      </c>
      <c r="T169" s="20" t="s">
        <v>25</v>
      </c>
      <c r="U169" s="20" t="s">
        <v>25</v>
      </c>
      <c r="V169" s="20" t="s">
        <v>25</v>
      </c>
      <c r="W169" s="20" t="s">
        <v>25</v>
      </c>
    </row>
    <row r="170" spans="1:23" x14ac:dyDescent="0.2">
      <c r="A170" s="130">
        <v>523</v>
      </c>
      <c r="B170" s="72">
        <f>+A170-C170</f>
        <v>0</v>
      </c>
      <c r="C170" s="57">
        <v>523</v>
      </c>
      <c r="D170" s="59" t="s">
        <v>179</v>
      </c>
      <c r="E170" s="24">
        <v>11466.59</v>
      </c>
      <c r="F170" s="24" t="str">
        <f>+VLOOKUP(C170,'[1]Rates Emailed to LEAs 5.27'!$A$10:$H$197,4,FALSE)</f>
        <v>n/a</v>
      </c>
      <c r="G170" s="24">
        <f>+VLOOKUP(C170,'[1]Rates Emailed to LEAs 5.27'!$A$10:$H$197,8,FALSE)</f>
        <v>1035.57</v>
      </c>
      <c r="H170" s="23" t="str">
        <f t="shared" si="50"/>
        <v>n/a</v>
      </c>
      <c r="I170" s="23">
        <f t="shared" si="51"/>
        <v>3914.45</v>
      </c>
      <c r="J170" s="23" t="str">
        <f t="shared" si="52"/>
        <v>N/A</v>
      </c>
      <c r="K170" s="23">
        <f t="shared" si="53"/>
        <v>21.75</v>
      </c>
      <c r="L170" s="131">
        <f t="shared" si="64"/>
        <v>8800</v>
      </c>
      <c r="M170" s="20"/>
      <c r="N170" s="20"/>
      <c r="O170" s="104"/>
      <c r="P170" s="105"/>
      <c r="Q170" s="108"/>
      <c r="R170" s="106"/>
      <c r="S170" s="106"/>
      <c r="T170" s="20" t="s">
        <v>25</v>
      </c>
      <c r="U170" s="20" t="s">
        <v>25</v>
      </c>
      <c r="V170" s="20" t="s">
        <v>25</v>
      </c>
      <c r="W170" s="20" t="s">
        <v>25</v>
      </c>
    </row>
    <row r="171" spans="1:23" x14ac:dyDescent="0.2">
      <c r="A171" s="130">
        <v>528</v>
      </c>
      <c r="B171" s="72">
        <f>+A171-C171</f>
        <v>0</v>
      </c>
      <c r="C171" s="57">
        <v>528</v>
      </c>
      <c r="D171" s="59" t="s">
        <v>211</v>
      </c>
      <c r="E171" s="24">
        <v>5907.06</v>
      </c>
      <c r="F171" s="24">
        <f>+VLOOKUP(C171,'[1]Rates Emailed to LEAs 5.27'!$A$10:$H$197,4,FALSE)</f>
        <v>703.05</v>
      </c>
      <c r="G171" s="24">
        <f>+VLOOKUP(C171,'[1]Rates Emailed to LEAs 5.27'!$A$10:$H$197,8,FALSE)</f>
        <v>848.44</v>
      </c>
      <c r="H171" s="23">
        <f t="shared" si="50"/>
        <v>2657.53</v>
      </c>
      <c r="I171" s="23">
        <f t="shared" si="51"/>
        <v>3207.1</v>
      </c>
      <c r="J171" s="121">
        <f t="shared" ref="J171:J172" si="65">IF(F171="N/A","N/A",ROUND((F171*0.42)/16,2))</f>
        <v>18.46</v>
      </c>
      <c r="K171" s="121">
        <f t="shared" ref="K171:K172" si="66">IF(G171="N/A","N/A",ROUND((G171*0.42)/16,2))</f>
        <v>22.27</v>
      </c>
      <c r="L171" s="24">
        <v>8800</v>
      </c>
      <c r="M171" s="20"/>
      <c r="N171" s="20"/>
      <c r="O171" s="104"/>
      <c r="P171" s="105"/>
      <c r="Q171" s="108"/>
      <c r="R171" s="106"/>
      <c r="S171" s="106"/>
      <c r="T171" s="20" t="s">
        <v>25</v>
      </c>
      <c r="U171" s="20" t="s">
        <v>25</v>
      </c>
      <c r="V171" s="20" t="s">
        <v>25</v>
      </c>
      <c r="W171" s="20" t="s">
        <v>25</v>
      </c>
    </row>
    <row r="172" spans="1:23" x14ac:dyDescent="0.2">
      <c r="A172" s="130">
        <v>531</v>
      </c>
      <c r="B172" s="72">
        <f>+A172-C172</f>
        <v>0</v>
      </c>
      <c r="C172" s="57">
        <v>531</v>
      </c>
      <c r="D172" s="59" t="s">
        <v>212</v>
      </c>
      <c r="E172" s="24">
        <v>8899.41</v>
      </c>
      <c r="F172" s="24">
        <f>+VLOOKUP(C172,'[1]Rates Emailed to LEAs 5.27'!$A$10:$H$197,4,FALSE)</f>
        <v>1142.8800000000001</v>
      </c>
      <c r="G172" s="24">
        <f>+VLOOKUP(C172,'[1]Rates Emailed to LEAs 5.27'!$A$10:$H$197,8,FALSE)</f>
        <v>212.06</v>
      </c>
      <c r="H172" s="23">
        <f t="shared" si="50"/>
        <v>4320.09</v>
      </c>
      <c r="I172" s="23">
        <f t="shared" si="51"/>
        <v>801.59</v>
      </c>
      <c r="J172" s="121">
        <f t="shared" si="65"/>
        <v>30</v>
      </c>
      <c r="K172" s="121">
        <f t="shared" si="66"/>
        <v>5.57</v>
      </c>
      <c r="L172" s="24">
        <v>8800</v>
      </c>
      <c r="M172" s="20"/>
      <c r="N172" s="20"/>
      <c r="O172" s="104"/>
      <c r="P172" s="105"/>
      <c r="Q172" s="108"/>
      <c r="R172" s="106"/>
      <c r="S172" s="106"/>
      <c r="T172" s="20" t="s">
        <v>25</v>
      </c>
      <c r="U172" s="20" t="s">
        <v>25</v>
      </c>
      <c r="V172" s="20" t="s">
        <v>25</v>
      </c>
      <c r="W172" s="20" t="s">
        <v>25</v>
      </c>
    </row>
    <row r="173" spans="1:23" x14ac:dyDescent="0.2">
      <c r="A173" s="130">
        <v>532</v>
      </c>
      <c r="B173" s="72">
        <f>+A173-C173</f>
        <v>0</v>
      </c>
      <c r="C173" s="57">
        <v>532</v>
      </c>
      <c r="D173" s="59" t="s">
        <v>213</v>
      </c>
      <c r="E173" s="24">
        <v>5805.95</v>
      </c>
      <c r="F173" s="24">
        <f>+VLOOKUP(C173,'[1]Rates Emailed to LEAs 5.27'!$A$10:$H$197,4,FALSE)</f>
        <v>812.53</v>
      </c>
      <c r="G173" s="24">
        <f>+VLOOKUP(C173,'[1]Rates Emailed to LEAs 5.27'!$A$10:$H$197,8,FALSE)</f>
        <v>463.39</v>
      </c>
      <c r="H173" s="23">
        <f t="shared" si="50"/>
        <v>3071.36</v>
      </c>
      <c r="I173" s="23">
        <f t="shared" si="51"/>
        <v>1751.61</v>
      </c>
      <c r="J173" s="23">
        <f t="shared" si="52"/>
        <v>17.059999999999999</v>
      </c>
      <c r="K173" s="23">
        <f t="shared" si="53"/>
        <v>9.73</v>
      </c>
      <c r="L173" s="131">
        <f t="shared" ref="L173:L180" si="67">$L$8</f>
        <v>8800</v>
      </c>
      <c r="M173" s="20"/>
      <c r="N173" s="20"/>
      <c r="O173" s="104"/>
      <c r="P173" s="105"/>
      <c r="Q173" s="108"/>
      <c r="R173" s="106"/>
      <c r="S173" s="106"/>
      <c r="T173" s="20" t="s">
        <v>25</v>
      </c>
      <c r="U173" s="20" t="s">
        <v>25</v>
      </c>
      <c r="V173" s="20" t="s">
        <v>25</v>
      </c>
      <c r="W173" s="20" t="s">
        <v>25</v>
      </c>
    </row>
    <row r="174" spans="1:23" x14ac:dyDescent="0.2">
      <c r="A174" s="130">
        <v>534</v>
      </c>
      <c r="B174" s="72">
        <f>+A174-C174</f>
        <v>0</v>
      </c>
      <c r="C174" s="57">
        <v>534</v>
      </c>
      <c r="D174" s="59" t="s">
        <v>186</v>
      </c>
      <c r="E174" s="24">
        <v>8249.6200000000008</v>
      </c>
      <c r="F174" s="24">
        <f>+VLOOKUP(C174,'[1]Rates Emailed to LEAs 5.27'!$A$10:$H$197,4,FALSE)</f>
        <v>725.05</v>
      </c>
      <c r="G174" s="24">
        <f>+VLOOKUP(C174,'[1]Rates Emailed to LEAs 5.27'!$A$10:$H$197,8,FALSE)</f>
        <v>660.12</v>
      </c>
      <c r="H174" s="23">
        <f t="shared" si="50"/>
        <v>2740.69</v>
      </c>
      <c r="I174" s="23">
        <f t="shared" si="51"/>
        <v>2495.25</v>
      </c>
      <c r="J174" s="23">
        <f t="shared" si="52"/>
        <v>15.23</v>
      </c>
      <c r="K174" s="23">
        <f t="shared" si="53"/>
        <v>13.86</v>
      </c>
      <c r="L174" s="131">
        <f t="shared" si="67"/>
        <v>8800</v>
      </c>
      <c r="M174" s="20"/>
      <c r="N174" s="20"/>
      <c r="O174" s="104"/>
      <c r="P174" s="105"/>
      <c r="Q174" s="108"/>
      <c r="R174" s="106"/>
      <c r="S174" s="106"/>
      <c r="T174" s="20" t="s">
        <v>25</v>
      </c>
      <c r="U174" s="20" t="s">
        <v>25</v>
      </c>
      <c r="V174" s="20" t="s">
        <v>25</v>
      </c>
      <c r="W174" s="20" t="s">
        <v>25</v>
      </c>
    </row>
    <row r="175" spans="1:23" x14ac:dyDescent="0.2">
      <c r="A175" s="130">
        <v>536</v>
      </c>
      <c r="B175" s="72"/>
      <c r="C175" s="57">
        <v>536</v>
      </c>
      <c r="D175" s="59" t="s">
        <v>278</v>
      </c>
      <c r="E175" s="24"/>
      <c r="F175" s="24">
        <f>+VLOOKUP(C175,'[1]Rates Emailed to LEAs 5.27'!$A$10:$H$197,4,FALSE)</f>
        <v>768.69</v>
      </c>
      <c r="G175" s="24">
        <f>+VLOOKUP(C175,'[1]Rates Emailed to LEAs 5.27'!$A$10:$H$197,8,FALSE)</f>
        <v>827.27</v>
      </c>
      <c r="H175" s="23">
        <f t="shared" si="50"/>
        <v>2905.65</v>
      </c>
      <c r="I175" s="23">
        <f t="shared" si="51"/>
        <v>3127.08</v>
      </c>
      <c r="J175" s="23">
        <f t="shared" si="52"/>
        <v>16.14</v>
      </c>
      <c r="K175" s="23">
        <f t="shared" si="53"/>
        <v>17.37</v>
      </c>
      <c r="L175" s="131">
        <f t="shared" si="67"/>
        <v>8800</v>
      </c>
      <c r="M175" s="20"/>
      <c r="N175" s="20"/>
      <c r="O175" s="104"/>
      <c r="P175" s="105"/>
      <c r="Q175" s="108"/>
      <c r="R175" s="106"/>
      <c r="S175" s="106"/>
      <c r="T175" s="20"/>
      <c r="U175" s="20"/>
      <c r="V175" s="20"/>
      <c r="W175" s="20"/>
    </row>
    <row r="176" spans="1:23" x14ac:dyDescent="0.2">
      <c r="A176" s="130">
        <v>540</v>
      </c>
      <c r="B176" s="72">
        <f>+A176-C176</f>
        <v>0</v>
      </c>
      <c r="C176" s="57">
        <v>540</v>
      </c>
      <c r="D176" s="73" t="s">
        <v>214</v>
      </c>
      <c r="E176" s="24">
        <v>8459.9</v>
      </c>
      <c r="F176" s="24">
        <f>+VLOOKUP(C176,'[1]Rates Emailed to LEAs 5.27'!$A$10:$H$197,4,FALSE)</f>
        <v>1679.35</v>
      </c>
      <c r="G176" s="24" t="str">
        <f>+VLOOKUP(C176,'[1]Rates Emailed to LEAs 5.27'!$A$10:$H$197,8,FALSE)</f>
        <v>n/a</v>
      </c>
      <c r="H176" s="23">
        <f t="shared" si="50"/>
        <v>6347.94</v>
      </c>
      <c r="I176" s="23" t="str">
        <f t="shared" si="51"/>
        <v>n/a</v>
      </c>
      <c r="J176" s="23">
        <f t="shared" si="52"/>
        <v>35.270000000000003</v>
      </c>
      <c r="K176" s="23" t="str">
        <f t="shared" si="53"/>
        <v>N/A</v>
      </c>
      <c r="L176" s="131">
        <f t="shared" si="67"/>
        <v>8800</v>
      </c>
      <c r="M176" s="20"/>
      <c r="N176" s="20"/>
      <c r="O176" s="104"/>
      <c r="P176" s="105"/>
      <c r="Q176" s="108"/>
      <c r="R176" s="106"/>
      <c r="S176" s="106"/>
      <c r="T176" s="20" t="s">
        <v>25</v>
      </c>
      <c r="U176" s="20" t="s">
        <v>25</v>
      </c>
      <c r="V176" s="20" t="s">
        <v>25</v>
      </c>
      <c r="W176" s="20" t="s">
        <v>25</v>
      </c>
    </row>
    <row r="177" spans="1:23" x14ac:dyDescent="0.2">
      <c r="A177" s="130">
        <v>544</v>
      </c>
      <c r="B177" s="72">
        <f>+A177-C177</f>
        <v>0</v>
      </c>
      <c r="C177" s="57">
        <v>544</v>
      </c>
      <c r="D177" s="59" t="s">
        <v>215</v>
      </c>
      <c r="E177" s="24">
        <v>4977.03</v>
      </c>
      <c r="F177" s="24">
        <f>+VLOOKUP(C177,'[1]Rates Emailed to LEAs 5.27'!$A$10:$H$197,4,FALSE)</f>
        <v>730.74</v>
      </c>
      <c r="G177" s="24" t="str">
        <f>+VLOOKUP(C177,'[1]Rates Emailed to LEAs 5.27'!$A$10:$H$197,8,FALSE)</f>
        <v>n/a</v>
      </c>
      <c r="H177" s="23">
        <f t="shared" si="50"/>
        <v>2762.2</v>
      </c>
      <c r="I177" s="23" t="str">
        <f t="shared" si="51"/>
        <v>n/a</v>
      </c>
      <c r="J177" s="23">
        <f t="shared" si="52"/>
        <v>15.35</v>
      </c>
      <c r="K177" s="23" t="str">
        <f t="shared" si="53"/>
        <v>N/A</v>
      </c>
      <c r="L177" s="131">
        <f t="shared" si="67"/>
        <v>8800</v>
      </c>
      <c r="M177" s="20"/>
      <c r="N177" s="20"/>
      <c r="O177" s="104"/>
      <c r="P177" s="105"/>
      <c r="Q177" s="108"/>
      <c r="R177" s="106"/>
      <c r="S177" s="106"/>
      <c r="T177" s="20" t="s">
        <v>25</v>
      </c>
      <c r="U177" s="20" t="s">
        <v>25</v>
      </c>
      <c r="V177" s="20" t="s">
        <v>25</v>
      </c>
      <c r="W177" s="20" t="s">
        <v>25</v>
      </c>
    </row>
    <row r="178" spans="1:23" x14ac:dyDescent="0.2">
      <c r="A178" s="130">
        <v>549</v>
      </c>
      <c r="B178" s="72">
        <f>+A178-C178</f>
        <v>0</v>
      </c>
      <c r="C178" s="57">
        <v>549</v>
      </c>
      <c r="D178" s="59" t="s">
        <v>229</v>
      </c>
      <c r="E178" s="24">
        <v>4837.5</v>
      </c>
      <c r="F178" s="24">
        <f>+VLOOKUP(C178,'[1]Rates Emailed to LEAs 5.27'!$A$10:$H$197,4,FALSE)</f>
        <v>768.69</v>
      </c>
      <c r="G178" s="24">
        <f>+VLOOKUP(C178,'[1]Rates Emailed to LEAs 5.27'!$A$10:$H$197,8,FALSE)</f>
        <v>827.27</v>
      </c>
      <c r="H178" s="23">
        <f t="shared" si="50"/>
        <v>2905.65</v>
      </c>
      <c r="I178" s="23">
        <f t="shared" si="51"/>
        <v>3127.08</v>
      </c>
      <c r="J178" s="23">
        <f t="shared" si="52"/>
        <v>16.14</v>
      </c>
      <c r="K178" s="23">
        <f t="shared" si="53"/>
        <v>17.37</v>
      </c>
      <c r="L178" s="131">
        <f t="shared" si="67"/>
        <v>8800</v>
      </c>
      <c r="M178" s="20"/>
      <c r="N178" s="20"/>
      <c r="O178" s="104"/>
      <c r="P178" s="105"/>
      <c r="Q178" s="108"/>
      <c r="R178" s="106"/>
      <c r="S178" s="106"/>
      <c r="T178" s="20" t="s">
        <v>25</v>
      </c>
      <c r="U178" s="20" t="s">
        <v>25</v>
      </c>
      <c r="V178" s="20" t="s">
        <v>25</v>
      </c>
      <c r="W178" s="20" t="s">
        <v>25</v>
      </c>
    </row>
    <row r="179" spans="1:23" x14ac:dyDescent="0.2">
      <c r="A179" s="130">
        <v>550</v>
      </c>
      <c r="B179" s="72">
        <f>+A179-C179</f>
        <v>0</v>
      </c>
      <c r="C179" s="57">
        <v>550</v>
      </c>
      <c r="D179" s="59" t="s">
        <v>188</v>
      </c>
      <c r="E179" s="24">
        <v>4861.96</v>
      </c>
      <c r="F179" s="24">
        <f>+VLOOKUP(C179,'[1]Rates Emailed to LEAs 5.27'!$A$10:$H$197,4,FALSE)</f>
        <v>836.67</v>
      </c>
      <c r="G179" s="24" t="str">
        <f>+VLOOKUP(C179,'[1]Rates Emailed to LEAs 5.27'!$A$10:$H$197,8,FALSE)</f>
        <v>n/a</v>
      </c>
      <c r="H179" s="23">
        <f t="shared" si="50"/>
        <v>3162.61</v>
      </c>
      <c r="I179" s="23" t="str">
        <f t="shared" si="51"/>
        <v>n/a</v>
      </c>
      <c r="J179" s="23">
        <f t="shared" si="52"/>
        <v>17.57</v>
      </c>
      <c r="K179" s="23" t="str">
        <f t="shared" si="53"/>
        <v>N/A</v>
      </c>
      <c r="L179" s="131">
        <f t="shared" si="67"/>
        <v>8800</v>
      </c>
      <c r="M179" s="20"/>
      <c r="N179" s="20"/>
      <c r="O179" s="104"/>
      <c r="P179" s="105"/>
      <c r="Q179" s="108"/>
      <c r="R179" s="106"/>
      <c r="S179" s="106"/>
      <c r="T179" s="20" t="s">
        <v>25</v>
      </c>
      <c r="U179" s="20" t="s">
        <v>25</v>
      </c>
      <c r="V179" s="20" t="s">
        <v>25</v>
      </c>
      <c r="W179" s="20" t="s">
        <v>25</v>
      </c>
    </row>
    <row r="180" spans="1:23" x14ac:dyDescent="0.2">
      <c r="A180" s="130">
        <v>553</v>
      </c>
      <c r="B180" s="72">
        <f>+A180-C180</f>
        <v>0</v>
      </c>
      <c r="C180" s="57">
        <v>553</v>
      </c>
      <c r="D180" s="59" t="s">
        <v>189</v>
      </c>
      <c r="E180" s="24">
        <v>5068.74</v>
      </c>
      <c r="F180" s="24">
        <f>+VLOOKUP(C180,'[1]Rates Emailed to LEAs 5.27'!$A$10:$H$197,4,FALSE)</f>
        <v>795.93</v>
      </c>
      <c r="G180" s="24" t="str">
        <f>+VLOOKUP(C180,'[1]Rates Emailed to LEAs 5.27'!$A$10:$H$197,8,FALSE)</f>
        <v>n/a</v>
      </c>
      <c r="H180" s="23">
        <f t="shared" si="50"/>
        <v>3008.62</v>
      </c>
      <c r="I180" s="23" t="str">
        <f t="shared" si="51"/>
        <v>n/a</v>
      </c>
      <c r="J180" s="23">
        <f t="shared" si="52"/>
        <v>16.71</v>
      </c>
      <c r="K180" s="23" t="str">
        <f t="shared" si="53"/>
        <v>N/A</v>
      </c>
      <c r="L180" s="131">
        <f t="shared" si="67"/>
        <v>8800</v>
      </c>
      <c r="M180" s="20"/>
      <c r="N180" s="20"/>
      <c r="O180" s="104"/>
      <c r="P180" s="105"/>
      <c r="Q180" s="108"/>
      <c r="R180" s="106"/>
      <c r="S180" s="106"/>
      <c r="T180" s="20" t="s">
        <v>25</v>
      </c>
      <c r="U180" s="20" t="s">
        <v>25</v>
      </c>
      <c r="V180" s="20" t="s">
        <v>25</v>
      </c>
      <c r="W180" s="20" t="s">
        <v>25</v>
      </c>
    </row>
    <row r="181" spans="1:23" x14ac:dyDescent="0.2">
      <c r="A181" s="130">
        <v>555</v>
      </c>
      <c r="B181" s="72">
        <f t="shared" ref="B181:B194" si="68">+A181-C181</f>
        <v>0</v>
      </c>
      <c r="C181" s="57">
        <v>555</v>
      </c>
      <c r="D181" s="59" t="s">
        <v>26</v>
      </c>
      <c r="E181" s="24">
        <v>11588.34</v>
      </c>
      <c r="F181" s="24" t="str">
        <f>+VLOOKUP(C181,'[1]Rates Emailed to LEAs 5.27'!$A$10:$H$197,4,FALSE)</f>
        <v>n/a</v>
      </c>
      <c r="G181" s="24">
        <f>+VLOOKUP(C181,'[1]Rates Emailed to LEAs 5.27'!$A$10:$H$197,8,FALSE)</f>
        <v>1446.84</v>
      </c>
      <c r="H181" s="23" t="str">
        <f t="shared" si="50"/>
        <v>n/a</v>
      </c>
      <c r="I181" s="23">
        <f t="shared" si="51"/>
        <v>5469.06</v>
      </c>
      <c r="J181" s="121" t="str">
        <f>IF(F181="N/A","N/A",ROUND((F181*0.42)/16,2))</f>
        <v>N/A</v>
      </c>
      <c r="K181" s="121">
        <f>IF(G181="N/A","N/A",ROUND((G181*0.42)/16,2))</f>
        <v>37.979999999999997</v>
      </c>
      <c r="L181" s="24">
        <v>8800</v>
      </c>
      <c r="M181" s="20"/>
      <c r="N181" s="20"/>
      <c r="O181" s="104"/>
      <c r="P181" s="105"/>
      <c r="Q181" s="108"/>
      <c r="R181" s="106"/>
      <c r="S181" s="106">
        <v>286.60000000000002</v>
      </c>
      <c r="T181" s="20" t="s">
        <v>25</v>
      </c>
      <c r="U181" s="20" t="s">
        <v>25</v>
      </c>
      <c r="V181" s="20" t="s">
        <v>25</v>
      </c>
      <c r="W181" s="20" t="s">
        <v>25</v>
      </c>
    </row>
    <row r="182" spans="1:23" x14ac:dyDescent="0.2">
      <c r="A182" s="130">
        <v>559</v>
      </c>
      <c r="B182" s="72">
        <f t="shared" si="68"/>
        <v>0</v>
      </c>
      <c r="C182" s="57">
        <v>559</v>
      </c>
      <c r="D182" s="59" t="s">
        <v>197</v>
      </c>
      <c r="E182" s="24">
        <v>7341.68</v>
      </c>
      <c r="F182" s="24">
        <f>+VLOOKUP(C182,'[1]Rates Emailed to LEAs 5.27'!$A$10:$H$197,4,FALSE)</f>
        <v>669.23</v>
      </c>
      <c r="G182" s="24">
        <f>+VLOOKUP(C182,'[1]Rates Emailed to LEAs 5.27'!$A$10:$H$197,8,FALSE)</f>
        <v>919.54</v>
      </c>
      <c r="H182" s="23">
        <f t="shared" si="50"/>
        <v>2529.69</v>
      </c>
      <c r="I182" s="23">
        <f t="shared" si="51"/>
        <v>3475.86</v>
      </c>
      <c r="J182" s="23">
        <f t="shared" si="52"/>
        <v>14.05</v>
      </c>
      <c r="K182" s="23">
        <f t="shared" si="53"/>
        <v>19.309999999999999</v>
      </c>
      <c r="L182" s="131">
        <f>$L$8</f>
        <v>8800</v>
      </c>
      <c r="M182" s="20"/>
      <c r="N182" s="20"/>
      <c r="O182" s="104"/>
      <c r="P182" s="105"/>
      <c r="Q182" s="108"/>
      <c r="R182" s="106"/>
      <c r="S182" s="106"/>
      <c r="T182" s="20" t="s">
        <v>25</v>
      </c>
      <c r="U182" s="20" t="s">
        <v>25</v>
      </c>
      <c r="V182" s="20" t="s">
        <v>25</v>
      </c>
      <c r="W182" s="20" t="s">
        <v>25</v>
      </c>
    </row>
    <row r="183" spans="1:23" x14ac:dyDescent="0.2">
      <c r="A183" s="130">
        <v>560</v>
      </c>
      <c r="B183" s="72">
        <f t="shared" si="68"/>
        <v>0</v>
      </c>
      <c r="C183" s="57">
        <v>560</v>
      </c>
      <c r="D183" s="59" t="s">
        <v>265</v>
      </c>
      <c r="E183" s="24">
        <v>7708.32</v>
      </c>
      <c r="F183" s="24">
        <f>+VLOOKUP(C183,'[1]Rates Emailed to LEAs 5.27'!$A$10:$H$197,4,FALSE)</f>
        <v>768.69</v>
      </c>
      <c r="G183" s="24">
        <f>+VLOOKUP(C183,'[1]Rates Emailed to LEAs 5.27'!$A$10:$H$197,8,FALSE)</f>
        <v>827.27</v>
      </c>
      <c r="H183" s="23">
        <f t="shared" si="50"/>
        <v>2905.65</v>
      </c>
      <c r="I183" s="23">
        <f t="shared" si="51"/>
        <v>3127.08</v>
      </c>
      <c r="J183" s="121">
        <f>IF(F183="N/A","N/A",ROUND((F183*0.42)/16,2))</f>
        <v>20.18</v>
      </c>
      <c r="K183" s="121">
        <f>IF(G183="N/A","N/A",ROUND((G183*0.42)/16,2))</f>
        <v>21.72</v>
      </c>
      <c r="L183" s="24">
        <v>8800</v>
      </c>
      <c r="M183" s="20"/>
      <c r="N183" s="20"/>
      <c r="O183" s="104"/>
      <c r="P183" s="105"/>
      <c r="Q183" s="108"/>
      <c r="R183" s="106"/>
      <c r="S183" s="106"/>
      <c r="T183" s="20" t="s">
        <v>25</v>
      </c>
      <c r="U183" s="20" t="s">
        <v>25</v>
      </c>
      <c r="V183" s="20" t="s">
        <v>25</v>
      </c>
      <c r="W183" s="20" t="s">
        <v>25</v>
      </c>
    </row>
    <row r="184" spans="1:23" x14ac:dyDescent="0.2">
      <c r="A184" s="130">
        <v>562</v>
      </c>
      <c r="B184" s="72">
        <f t="shared" si="68"/>
        <v>0</v>
      </c>
      <c r="C184" s="57">
        <v>562</v>
      </c>
      <c r="D184" s="73" t="s">
        <v>266</v>
      </c>
      <c r="E184" s="24">
        <v>7646.12</v>
      </c>
      <c r="F184" s="24">
        <f>+VLOOKUP(C184,'[1]Rates Emailed to LEAs 5.27'!$A$10:$H$197,4,FALSE)</f>
        <v>768.69</v>
      </c>
      <c r="G184" s="24">
        <f>+VLOOKUP(C184,'[1]Rates Emailed to LEAs 5.27'!$A$10:$H$197,8,FALSE)</f>
        <v>827.27</v>
      </c>
      <c r="H184" s="23">
        <f t="shared" si="50"/>
        <v>2905.65</v>
      </c>
      <c r="I184" s="23">
        <f t="shared" si="51"/>
        <v>3127.08</v>
      </c>
      <c r="J184" s="23">
        <f t="shared" si="52"/>
        <v>16.14</v>
      </c>
      <c r="K184" s="23">
        <f t="shared" si="53"/>
        <v>17.37</v>
      </c>
      <c r="L184" s="131">
        <f t="shared" ref="L184:L194" si="69">$L$8</f>
        <v>8800</v>
      </c>
      <c r="M184" s="20"/>
      <c r="N184" s="20"/>
      <c r="O184" s="104"/>
      <c r="P184" s="105"/>
      <c r="Q184" s="108"/>
      <c r="R184" s="106"/>
      <c r="S184" s="106"/>
      <c r="T184" s="20" t="s">
        <v>25</v>
      </c>
      <c r="U184" s="20" t="s">
        <v>25</v>
      </c>
      <c r="V184" s="20" t="s">
        <v>25</v>
      </c>
      <c r="W184" s="20" t="s">
        <v>25</v>
      </c>
    </row>
    <row r="185" spans="1:23" x14ac:dyDescent="0.2">
      <c r="A185" s="130">
        <v>566</v>
      </c>
      <c r="B185" s="72">
        <f t="shared" si="68"/>
        <v>0</v>
      </c>
      <c r="C185" s="57">
        <v>566</v>
      </c>
      <c r="D185" s="73" t="s">
        <v>267</v>
      </c>
      <c r="E185" s="24">
        <v>9833.18</v>
      </c>
      <c r="F185" s="24">
        <f>+VLOOKUP(C185,'[1]Rates Emailed to LEAs 5.27'!$A$10:$H$197,4,FALSE)</f>
        <v>768.69</v>
      </c>
      <c r="G185" s="24">
        <f>+VLOOKUP(C185,'[1]Rates Emailed to LEAs 5.27'!$A$10:$H$197,8,FALSE)</f>
        <v>827.27</v>
      </c>
      <c r="H185" s="23">
        <f t="shared" si="50"/>
        <v>2905.65</v>
      </c>
      <c r="I185" s="23">
        <f t="shared" si="51"/>
        <v>3127.08</v>
      </c>
      <c r="J185" s="23">
        <f t="shared" si="52"/>
        <v>16.14</v>
      </c>
      <c r="K185" s="23">
        <f t="shared" si="53"/>
        <v>17.37</v>
      </c>
      <c r="L185" s="131">
        <f t="shared" si="69"/>
        <v>8800</v>
      </c>
      <c r="M185" s="20"/>
      <c r="N185" s="20"/>
      <c r="O185" s="104"/>
      <c r="P185" s="105"/>
      <c r="Q185" s="108"/>
      <c r="R185" s="106"/>
      <c r="S185" s="106"/>
      <c r="T185" s="20" t="s">
        <v>25</v>
      </c>
      <c r="U185" s="20" t="s">
        <v>25</v>
      </c>
      <c r="V185" s="20" t="s">
        <v>25</v>
      </c>
      <c r="W185" s="20" t="s">
        <v>25</v>
      </c>
    </row>
    <row r="186" spans="1:23" x14ac:dyDescent="0.2">
      <c r="A186" s="130">
        <v>571</v>
      </c>
      <c r="B186" s="72">
        <f t="shared" si="68"/>
        <v>0</v>
      </c>
      <c r="C186" s="57">
        <v>571</v>
      </c>
      <c r="D186" s="73" t="s">
        <v>279</v>
      </c>
      <c r="E186" s="24"/>
      <c r="F186" s="24">
        <f>+VLOOKUP(C186,'[1]Rates Emailed to LEAs 5.27'!$A$10:$H$197,4,FALSE)</f>
        <v>768.69</v>
      </c>
      <c r="G186" s="24">
        <f>+VLOOKUP(C186,'[1]Rates Emailed to LEAs 5.27'!$A$10:$H$197,8,FALSE)</f>
        <v>827.27</v>
      </c>
      <c r="H186" s="23">
        <f t="shared" si="50"/>
        <v>2905.65</v>
      </c>
      <c r="I186" s="23">
        <f t="shared" si="51"/>
        <v>3127.08</v>
      </c>
      <c r="J186" s="23">
        <f t="shared" si="52"/>
        <v>16.14</v>
      </c>
      <c r="K186" s="23">
        <f t="shared" si="53"/>
        <v>17.37</v>
      </c>
      <c r="L186" s="131">
        <f t="shared" si="69"/>
        <v>8800</v>
      </c>
      <c r="M186" s="20"/>
      <c r="N186" s="20"/>
      <c r="O186" s="104"/>
      <c r="P186" s="105"/>
      <c r="Q186" s="108"/>
      <c r="R186" s="106"/>
      <c r="S186" s="106"/>
      <c r="T186" s="20"/>
      <c r="U186" s="20"/>
      <c r="V186" s="20"/>
      <c r="W186" s="20"/>
    </row>
    <row r="187" spans="1:23" x14ac:dyDescent="0.2">
      <c r="A187" s="130">
        <v>574</v>
      </c>
      <c r="B187" s="72">
        <f t="shared" si="68"/>
        <v>0</v>
      </c>
      <c r="C187" s="57">
        <v>574</v>
      </c>
      <c r="D187" s="73" t="s">
        <v>280</v>
      </c>
      <c r="E187" s="24"/>
      <c r="F187" s="24">
        <f>+VLOOKUP(C187,'[1]Rates Emailed to LEAs 5.27'!$A$10:$H$197,4,FALSE)</f>
        <v>768.69</v>
      </c>
      <c r="G187" s="24">
        <f>+VLOOKUP(C187,'[1]Rates Emailed to LEAs 5.27'!$A$10:$H$197,8,FALSE)</f>
        <v>827.27</v>
      </c>
      <c r="H187" s="23">
        <f t="shared" si="50"/>
        <v>2905.65</v>
      </c>
      <c r="I187" s="23">
        <f t="shared" si="51"/>
        <v>3127.08</v>
      </c>
      <c r="J187" s="23">
        <f t="shared" si="52"/>
        <v>16.14</v>
      </c>
      <c r="K187" s="23">
        <f t="shared" si="53"/>
        <v>17.37</v>
      </c>
      <c r="L187" s="131">
        <f t="shared" si="69"/>
        <v>8800</v>
      </c>
      <c r="M187" s="20"/>
      <c r="N187" s="20"/>
      <c r="O187" s="104"/>
      <c r="P187" s="105"/>
      <c r="Q187" s="108"/>
      <c r="R187" s="106"/>
      <c r="S187" s="106"/>
      <c r="T187" s="20"/>
      <c r="U187" s="20"/>
      <c r="V187" s="20"/>
      <c r="W187" s="20"/>
    </row>
    <row r="188" spans="1:23" x14ac:dyDescent="0.2">
      <c r="A188" s="130">
        <v>575</v>
      </c>
      <c r="B188" s="72">
        <f t="shared" si="68"/>
        <v>0</v>
      </c>
      <c r="C188" s="57">
        <v>575</v>
      </c>
      <c r="D188" s="73" t="s">
        <v>281</v>
      </c>
      <c r="E188" s="24"/>
      <c r="F188" s="24">
        <f>+VLOOKUP(C188,'[1]Rates Emailed to LEAs 5.27'!$A$10:$H$197,4,FALSE)</f>
        <v>768.69</v>
      </c>
      <c r="G188" s="24">
        <f>+VLOOKUP(C188,'[1]Rates Emailed to LEAs 5.27'!$A$10:$H$197,8,FALSE)</f>
        <v>827.27</v>
      </c>
      <c r="H188" s="23">
        <f t="shared" si="50"/>
        <v>2905.65</v>
      </c>
      <c r="I188" s="23">
        <f t="shared" si="51"/>
        <v>3127.08</v>
      </c>
      <c r="J188" s="23">
        <f t="shared" si="52"/>
        <v>16.14</v>
      </c>
      <c r="K188" s="23">
        <f t="shared" si="53"/>
        <v>17.37</v>
      </c>
      <c r="L188" s="131">
        <f t="shared" si="69"/>
        <v>8800</v>
      </c>
      <c r="M188" s="20"/>
      <c r="N188" s="20"/>
      <c r="O188" s="104"/>
      <c r="P188" s="105"/>
      <c r="Q188" s="108"/>
      <c r="R188" s="106"/>
      <c r="S188" s="106"/>
      <c r="T188" s="20"/>
      <c r="U188" s="20"/>
      <c r="V188" s="20"/>
      <c r="W188" s="20"/>
    </row>
    <row r="189" spans="1:23" x14ac:dyDescent="0.2">
      <c r="A189" s="130">
        <v>768</v>
      </c>
      <c r="B189" s="72">
        <f t="shared" si="68"/>
        <v>0</v>
      </c>
      <c r="C189" s="57">
        <v>768</v>
      </c>
      <c r="D189" s="73" t="s">
        <v>169</v>
      </c>
      <c r="E189" s="24">
        <v>9940.02</v>
      </c>
      <c r="F189" s="24" t="str">
        <f>+VLOOKUP(C189,'[1]Rates Emailed to LEAs 5.27'!$A$10:$H$197,4,FALSE)</f>
        <v>n/a</v>
      </c>
      <c r="G189" s="24">
        <f>+VLOOKUP(C189,'[1]Rates Emailed to LEAs 5.27'!$A$10:$H$197,8,FALSE)</f>
        <v>1136.42</v>
      </c>
      <c r="H189" s="23" t="str">
        <f t="shared" si="50"/>
        <v>n/a</v>
      </c>
      <c r="I189" s="23">
        <f t="shared" si="51"/>
        <v>4295.67</v>
      </c>
      <c r="J189" s="23" t="str">
        <f t="shared" si="52"/>
        <v>N/A</v>
      </c>
      <c r="K189" s="23">
        <f t="shared" si="53"/>
        <v>23.86</v>
      </c>
      <c r="L189" s="131">
        <f t="shared" si="69"/>
        <v>8800</v>
      </c>
      <c r="M189" s="20"/>
      <c r="N189" s="20"/>
      <c r="O189" s="104"/>
      <c r="P189" s="105"/>
      <c r="Q189" s="108"/>
      <c r="R189" s="106"/>
      <c r="S189" s="106"/>
      <c r="T189" s="20" t="s">
        <v>25</v>
      </c>
      <c r="U189" s="20" t="s">
        <v>25</v>
      </c>
      <c r="V189" s="20" t="s">
        <v>25</v>
      </c>
      <c r="W189" s="20" t="s">
        <v>25</v>
      </c>
    </row>
    <row r="190" spans="1:23" x14ac:dyDescent="0.2">
      <c r="A190" s="130">
        <v>785</v>
      </c>
      <c r="B190" s="72">
        <f t="shared" si="68"/>
        <v>0</v>
      </c>
      <c r="C190" s="57">
        <v>785</v>
      </c>
      <c r="D190" s="73" t="s">
        <v>168</v>
      </c>
      <c r="E190" s="24">
        <v>9917.36</v>
      </c>
      <c r="F190" s="24" t="str">
        <f>+VLOOKUP(C190,'[1]Rates Emailed to LEAs 5.27'!$A$10:$H$197,4,FALSE)</f>
        <v>n/a</v>
      </c>
      <c r="G190" s="24">
        <f>+VLOOKUP(C190,'[1]Rates Emailed to LEAs 5.27'!$A$10:$H$197,8,FALSE)</f>
        <v>1188.8</v>
      </c>
      <c r="H190" s="23" t="str">
        <f t="shared" si="50"/>
        <v>n/a</v>
      </c>
      <c r="I190" s="23">
        <f t="shared" si="51"/>
        <v>4493.66</v>
      </c>
      <c r="J190" s="23" t="str">
        <f t="shared" si="52"/>
        <v>N/A</v>
      </c>
      <c r="K190" s="23">
        <f t="shared" si="53"/>
        <v>24.96</v>
      </c>
      <c r="L190" s="131">
        <f t="shared" si="69"/>
        <v>8800</v>
      </c>
      <c r="M190" s="20"/>
      <c r="N190" s="20"/>
      <c r="O190" s="104"/>
      <c r="P190" s="105"/>
      <c r="Q190" s="108"/>
      <c r="R190" s="106"/>
      <c r="S190" s="106"/>
      <c r="T190" s="20" t="s">
        <v>25</v>
      </c>
      <c r="U190" s="20" t="s">
        <v>25</v>
      </c>
      <c r="V190" s="20" t="s">
        <v>25</v>
      </c>
      <c r="W190" s="20" t="s">
        <v>25</v>
      </c>
    </row>
    <row r="191" spans="1:23" x14ac:dyDescent="0.2">
      <c r="A191" s="130">
        <v>794</v>
      </c>
      <c r="B191" s="72">
        <f t="shared" si="68"/>
        <v>0</v>
      </c>
      <c r="C191" s="57">
        <v>794</v>
      </c>
      <c r="D191" s="73" t="s">
        <v>118</v>
      </c>
      <c r="E191" s="24">
        <v>9597.6</v>
      </c>
      <c r="F191" s="24" t="str">
        <f>+VLOOKUP(C191,'[1]Rates Emailed to LEAs 5.27'!$A$10:$H$197,4,FALSE)</f>
        <v>n/a</v>
      </c>
      <c r="G191" s="24">
        <f>+VLOOKUP(C191,'[1]Rates Emailed to LEAs 5.27'!$A$10:$H$197,8,FALSE)</f>
        <v>1442.44</v>
      </c>
      <c r="H191" s="23" t="str">
        <f t="shared" si="50"/>
        <v>n/a</v>
      </c>
      <c r="I191" s="23">
        <f t="shared" si="51"/>
        <v>5452.42</v>
      </c>
      <c r="J191" s="23" t="str">
        <f t="shared" si="52"/>
        <v>N/A</v>
      </c>
      <c r="K191" s="23">
        <f t="shared" si="53"/>
        <v>30.29</v>
      </c>
      <c r="L191" s="131">
        <f t="shared" si="69"/>
        <v>8800</v>
      </c>
      <c r="M191" s="20"/>
      <c r="N191" s="20"/>
      <c r="O191" s="104"/>
      <c r="P191" s="105"/>
      <c r="Q191" s="108"/>
      <c r="R191" s="106"/>
      <c r="S191" s="106"/>
      <c r="T191" s="20" t="s">
        <v>25</v>
      </c>
      <c r="U191" s="20" t="s">
        <v>25</v>
      </c>
      <c r="V191" s="20" t="s">
        <v>25</v>
      </c>
      <c r="W191" s="20" t="s">
        <v>25</v>
      </c>
    </row>
    <row r="192" spans="1:23" x14ac:dyDescent="0.2">
      <c r="A192" s="130">
        <v>795</v>
      </c>
      <c r="B192" s="72">
        <f t="shared" si="68"/>
        <v>0</v>
      </c>
      <c r="C192" s="57">
        <v>795</v>
      </c>
      <c r="D192" s="73" t="s">
        <v>191</v>
      </c>
      <c r="E192" s="24">
        <v>5787.09</v>
      </c>
      <c r="F192" s="24">
        <f>+VLOOKUP(C192,'[1]Rates Emailed to LEAs 5.27'!$A$10:$H$197,4,FALSE)</f>
        <v>623.58000000000004</v>
      </c>
      <c r="G192" s="24">
        <f>+VLOOKUP(C192,'[1]Rates Emailed to LEAs 5.27'!$A$10:$H$197,8,FALSE)</f>
        <v>671.51</v>
      </c>
      <c r="H192" s="23">
        <f t="shared" si="50"/>
        <v>2357.13</v>
      </c>
      <c r="I192" s="23">
        <f t="shared" si="51"/>
        <v>2538.31</v>
      </c>
      <c r="J192" s="23">
        <f t="shared" si="52"/>
        <v>13.1</v>
      </c>
      <c r="K192" s="23">
        <f t="shared" si="53"/>
        <v>14.1</v>
      </c>
      <c r="L192" s="131">
        <f t="shared" si="69"/>
        <v>8800</v>
      </c>
      <c r="M192" s="20"/>
      <c r="N192" s="20"/>
      <c r="O192" s="104"/>
      <c r="P192" s="105"/>
      <c r="Q192" s="108"/>
      <c r="R192" s="106">
        <v>477</v>
      </c>
      <c r="S192" s="106"/>
      <c r="T192" s="20" t="s">
        <v>25</v>
      </c>
      <c r="U192" s="20" t="s">
        <v>25</v>
      </c>
      <c r="V192" s="20" t="s">
        <v>25</v>
      </c>
      <c r="W192" s="20" t="s">
        <v>25</v>
      </c>
    </row>
    <row r="193" spans="1:23" x14ac:dyDescent="0.2">
      <c r="A193" s="130">
        <v>796</v>
      </c>
      <c r="B193" s="72">
        <f t="shared" si="68"/>
        <v>0</v>
      </c>
      <c r="C193" s="57">
        <v>796</v>
      </c>
      <c r="D193" s="59" t="s">
        <v>141</v>
      </c>
      <c r="E193" s="24">
        <v>6052.66</v>
      </c>
      <c r="F193" s="24">
        <f>+VLOOKUP(C193,'[1]Rates Emailed to LEAs 5.27'!$A$10:$H$197,4,FALSE)</f>
        <v>599.24</v>
      </c>
      <c r="G193" s="24">
        <f>+VLOOKUP(C193,'[1]Rates Emailed to LEAs 5.27'!$A$10:$H$197,8,FALSE)</f>
        <v>553.45000000000005</v>
      </c>
      <c r="H193" s="23">
        <f t="shared" si="50"/>
        <v>2265.13</v>
      </c>
      <c r="I193" s="23">
        <f t="shared" si="51"/>
        <v>2092.04</v>
      </c>
      <c r="J193" s="23">
        <f t="shared" si="52"/>
        <v>12.58</v>
      </c>
      <c r="K193" s="23">
        <f t="shared" si="53"/>
        <v>11.62</v>
      </c>
      <c r="L193" s="131">
        <f t="shared" si="69"/>
        <v>8800</v>
      </c>
      <c r="M193" s="20"/>
      <c r="N193" s="20"/>
      <c r="O193" s="104"/>
      <c r="P193" s="105"/>
      <c r="Q193" s="108"/>
      <c r="R193" s="106"/>
      <c r="S193" s="106"/>
      <c r="T193" s="20" t="s">
        <v>25</v>
      </c>
      <c r="U193" s="20" t="s">
        <v>25</v>
      </c>
      <c r="V193" s="20" t="s">
        <v>25</v>
      </c>
      <c r="W193" s="20" t="s">
        <v>25</v>
      </c>
    </row>
    <row r="194" spans="1:23" x14ac:dyDescent="0.2">
      <c r="A194" s="130">
        <v>813</v>
      </c>
      <c r="B194" s="72">
        <f t="shared" si="68"/>
        <v>0</v>
      </c>
      <c r="C194" s="57">
        <v>813</v>
      </c>
      <c r="D194" s="59" t="s">
        <v>100</v>
      </c>
      <c r="E194" s="24">
        <v>6678.04</v>
      </c>
      <c r="F194" s="24">
        <f>+VLOOKUP(C194,'[1]Rates Emailed to LEAs 5.27'!$A$10:$H$197,4,FALSE)</f>
        <v>795.44</v>
      </c>
      <c r="G194" s="24">
        <f>+VLOOKUP(C194,'[1]Rates Emailed to LEAs 5.27'!$A$10:$H$197,8,FALSE)</f>
        <v>876.75</v>
      </c>
      <c r="H194" s="23">
        <f t="shared" si="50"/>
        <v>3006.76</v>
      </c>
      <c r="I194" s="23">
        <f t="shared" si="51"/>
        <v>3314.12</v>
      </c>
      <c r="J194" s="23">
        <f t="shared" si="52"/>
        <v>16.7</v>
      </c>
      <c r="K194" s="23">
        <f t="shared" si="53"/>
        <v>18.41</v>
      </c>
      <c r="L194" s="131">
        <f t="shared" si="69"/>
        <v>8800</v>
      </c>
      <c r="M194" s="20"/>
      <c r="N194" s="20"/>
      <c r="O194" s="104"/>
      <c r="P194" s="105"/>
      <c r="Q194" s="108"/>
      <c r="R194" s="106"/>
      <c r="S194" s="106"/>
      <c r="T194" s="20" t="s">
        <v>25</v>
      </c>
      <c r="U194" s="20" t="s">
        <v>25</v>
      </c>
      <c r="V194" s="20" t="s">
        <v>25</v>
      </c>
      <c r="W194" s="20" t="s">
        <v>25</v>
      </c>
    </row>
    <row r="195" spans="1:23" hidden="1" x14ac:dyDescent="0.2">
      <c r="A195" s="81" t="s">
        <v>3</v>
      </c>
      <c r="C195" s="62" t="s">
        <v>182</v>
      </c>
      <c r="D195" s="25"/>
      <c r="E195" s="22"/>
      <c r="F195" s="22"/>
      <c r="G195" s="24"/>
      <c r="H195" s="23"/>
      <c r="I195" s="23"/>
      <c r="J195" s="23"/>
      <c r="K195" s="23"/>
      <c r="L195" s="22"/>
      <c r="M195" s="21"/>
      <c r="N195" s="21"/>
    </row>
    <row r="196" spans="1:23" hidden="1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hidden="1" x14ac:dyDescent="0.2">
      <c r="D197" s="25"/>
      <c r="E197" s="22"/>
      <c r="F197" s="22"/>
      <c r="G197" s="24"/>
      <c r="H197" s="23"/>
      <c r="I197" s="23"/>
      <c r="J197" s="23"/>
      <c r="K197" s="23"/>
      <c r="L197" s="22"/>
      <c r="M197" s="21"/>
      <c r="N197" s="21"/>
    </row>
    <row r="198" spans="1:23" hidden="1" x14ac:dyDescent="0.2">
      <c r="E198" s="28">
        <f>SUM(E8:E197)</f>
        <v>1362752.7099999997</v>
      </c>
      <c r="F198" s="28">
        <f>SUM(F8:F197)</f>
        <v>175930.42999999996</v>
      </c>
      <c r="G198" s="28">
        <f>SUM(G8:G197)</f>
        <v>198931.18000000008</v>
      </c>
      <c r="H198" s="28"/>
      <c r="I198" s="28"/>
      <c r="J198" s="28">
        <f>SUM(J8:J197)</f>
        <v>4140.9399999999978</v>
      </c>
      <c r="K198" s="28">
        <f>SUM(K8:K197)</f>
        <v>4684.239999999998</v>
      </c>
      <c r="L198" s="28" t="s">
        <v>3</v>
      </c>
      <c r="M198" s="28">
        <f>SUM(M8:M197)</f>
        <v>0</v>
      </c>
      <c r="N198" s="28">
        <f>SUM(N8:N197)</f>
        <v>0</v>
      </c>
      <c r="O198" s="28">
        <f>SUM(O8:O197)</f>
        <v>0</v>
      </c>
      <c r="P198" s="28">
        <f>SUM(P8:P197)</f>
        <v>0</v>
      </c>
      <c r="Q198" s="28">
        <f>SUM(Q8:Q197)</f>
        <v>0</v>
      </c>
      <c r="R198" s="28">
        <f>SUM(R8:R197)</f>
        <v>48526.61</v>
      </c>
      <c r="S198" s="28">
        <f>SUM(S8:S197)</f>
        <v>41500.68</v>
      </c>
      <c r="T198" s="28">
        <f>SUM(T8:T197)</f>
        <v>238.21</v>
      </c>
      <c r="U198" s="28">
        <f>SUM(U8:U197)</f>
        <v>16656.240000000005</v>
      </c>
      <c r="V198" s="28">
        <f>SUM(V8:V197)</f>
        <v>86.3</v>
      </c>
      <c r="W198" s="28">
        <f>SUM(W8:W197)</f>
        <v>2045.6</v>
      </c>
    </row>
    <row r="199" spans="1:23" hidden="1" x14ac:dyDescent="0.2">
      <c r="E199" s="94">
        <v>1362752.71</v>
      </c>
      <c r="F199" s="94">
        <v>175930.43</v>
      </c>
      <c r="G199" s="94">
        <v>198931.18</v>
      </c>
      <c r="J199" s="94"/>
      <c r="K199" s="94"/>
      <c r="M199" s="90">
        <v>0</v>
      </c>
      <c r="N199" s="90">
        <v>0</v>
      </c>
      <c r="O199" s="91">
        <v>0</v>
      </c>
      <c r="P199" s="91">
        <v>0</v>
      </c>
      <c r="Q199" s="91">
        <v>0</v>
      </c>
      <c r="R199" s="92">
        <v>48526.61</v>
      </c>
      <c r="S199" s="92">
        <v>41500.68</v>
      </c>
      <c r="T199" s="91">
        <v>238.21</v>
      </c>
      <c r="U199" s="93">
        <v>16656.240000000002</v>
      </c>
      <c r="V199" s="93">
        <v>86.3</v>
      </c>
      <c r="W199" s="93">
        <v>2045.6</v>
      </c>
    </row>
    <row r="200" spans="1:23" hidden="1" x14ac:dyDescent="0.2">
      <c r="E200" s="75">
        <f>+E198-E199</f>
        <v>0</v>
      </c>
      <c r="F200" s="75">
        <f t="shared" ref="F200:G200" si="70">+F198-F199</f>
        <v>0</v>
      </c>
      <c r="G200" s="75">
        <f t="shared" si="70"/>
        <v>0</v>
      </c>
      <c r="H200" s="75"/>
      <c r="I200" s="75"/>
      <c r="J200" s="75">
        <f t="shared" ref="J200" si="71">+J198-J199</f>
        <v>4140.9399999999978</v>
      </c>
      <c r="K200" s="75">
        <f t="shared" ref="K200" si="72">+K198-K199</f>
        <v>4684.239999999998</v>
      </c>
      <c r="L200" s="75"/>
      <c r="M200" s="75">
        <f t="shared" ref="M200:W200" si="73">+M198-M199</f>
        <v>0</v>
      </c>
      <c r="N200" s="75">
        <f t="shared" si="73"/>
        <v>0</v>
      </c>
      <c r="O200" s="27">
        <f t="shared" si="73"/>
        <v>0</v>
      </c>
      <c r="P200" s="27">
        <f t="shared" si="73"/>
        <v>0</v>
      </c>
      <c r="Q200" s="27">
        <f t="shared" si="73"/>
        <v>0</v>
      </c>
      <c r="R200" s="27">
        <f t="shared" si="73"/>
        <v>0</v>
      </c>
      <c r="S200" s="27">
        <f t="shared" si="73"/>
        <v>0</v>
      </c>
      <c r="T200" s="27">
        <f t="shared" si="73"/>
        <v>0</v>
      </c>
      <c r="U200" s="27">
        <f t="shared" si="73"/>
        <v>0</v>
      </c>
      <c r="V200" s="27">
        <f t="shared" si="73"/>
        <v>0</v>
      </c>
      <c r="W200" s="27">
        <f t="shared" si="73"/>
        <v>0</v>
      </c>
    </row>
    <row r="201" spans="1:23" hidden="1" x14ac:dyDescent="0.2"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hidden="1" x14ac:dyDescent="0.2">
      <c r="F202" s="71" t="s">
        <v>286</v>
      </c>
      <c r="Q202" s="26" t="s">
        <v>3</v>
      </c>
      <c r="R202" s="26" t="s">
        <v>3</v>
      </c>
      <c r="S202" s="26" t="s">
        <v>3</v>
      </c>
      <c r="U202" s="19"/>
      <c r="V202" s="19"/>
      <c r="W202" s="19"/>
    </row>
    <row r="203" spans="1:23" ht="114.75" hidden="1" x14ac:dyDescent="0.2">
      <c r="D203" s="95" t="s">
        <v>217</v>
      </c>
      <c r="E203" s="96" t="s">
        <v>218</v>
      </c>
      <c r="F203" s="97" t="s">
        <v>219</v>
      </c>
      <c r="G203" s="97" t="s">
        <v>219</v>
      </c>
      <c r="H203"/>
      <c r="I203"/>
      <c r="J203" s="98" t="s">
        <v>220</v>
      </c>
      <c r="K203" s="98" t="s">
        <v>220</v>
      </c>
      <c r="L203" s="98" t="s">
        <v>221</v>
      </c>
      <c r="M203" s="98" t="s">
        <v>222</v>
      </c>
      <c r="N203" s="98" t="s">
        <v>223</v>
      </c>
      <c r="O203" s="99" t="s">
        <v>218</v>
      </c>
      <c r="P203" s="100" t="s">
        <v>224</v>
      </c>
      <c r="Q203" s="100" t="s">
        <v>224</v>
      </c>
      <c r="R203" s="111" t="s">
        <v>225</v>
      </c>
      <c r="S203" s="98" t="s">
        <v>225</v>
      </c>
      <c r="T203" s="101" t="s">
        <v>226</v>
      </c>
      <c r="U203" s="101" t="s">
        <v>226</v>
      </c>
      <c r="V203" s="101" t="s">
        <v>227</v>
      </c>
      <c r="W203" s="101" t="s">
        <v>227</v>
      </c>
    </row>
    <row r="204" spans="1:23" x14ac:dyDescent="0.2">
      <c r="D204"/>
      <c r="E204"/>
      <c r="F204"/>
      <c r="G204"/>
      <c r="H204"/>
      <c r="I204"/>
      <c r="J204" t="s">
        <v>237</v>
      </c>
      <c r="K204" t="s">
        <v>237</v>
      </c>
      <c r="L204"/>
      <c r="M204" s="124" t="s">
        <v>235</v>
      </c>
      <c r="N204" s="126"/>
      <c r="O204" s="127"/>
      <c r="P204" s="125"/>
      <c r="Q204" s="125"/>
      <c r="R204" s="102"/>
      <c r="S204"/>
      <c r="T204"/>
      <c r="U204" s="19"/>
      <c r="V204" s="19"/>
      <c r="W204" s="19"/>
    </row>
    <row r="205" spans="1:23" x14ac:dyDescent="0.2">
      <c r="U205" s="19"/>
      <c r="V205" s="19"/>
      <c r="W205" s="19"/>
    </row>
    <row r="206" spans="1:23" x14ac:dyDescent="0.2">
      <c r="E206" s="18" t="s">
        <v>24</v>
      </c>
      <c r="F206" s="18" t="s">
        <v>23</v>
      </c>
      <c r="G206" s="18" t="s">
        <v>23</v>
      </c>
      <c r="H206" s="18" t="s">
        <v>22</v>
      </c>
      <c r="I206" s="18" t="s">
        <v>22</v>
      </c>
      <c r="J206" s="18" t="s">
        <v>22</v>
      </c>
      <c r="K206" s="18" t="s">
        <v>22</v>
      </c>
      <c r="R206" s="26"/>
    </row>
    <row r="207" spans="1:23" x14ac:dyDescent="0.2">
      <c r="E207" s="18" t="s">
        <v>21</v>
      </c>
      <c r="F207" s="18" t="s">
        <v>20</v>
      </c>
      <c r="G207" s="18" t="s">
        <v>20</v>
      </c>
    </row>
    <row r="208" spans="1:23" x14ac:dyDescent="0.2">
      <c r="E208" s="18" t="s">
        <v>19</v>
      </c>
      <c r="F208" s="18" t="s">
        <v>19</v>
      </c>
      <c r="G208" s="18" t="s">
        <v>19</v>
      </c>
    </row>
  </sheetData>
  <sheetProtection algorithmName="SHA-512" hashValue="/XKVspfvORxzCwlVTP5ub7SJqQWXI1vk3Erd4aq3LUzmKWBr6tKe/Fv1YmyMwEiwoHptY61f0YaNAg3cSb+pvQ==" saltValue="sj5aN0xE7rxHSeJZzfN+GA==" spinCount="100000" sheet="1" objects="1" scenarios="1"/>
  <sortState ref="A9:W194">
    <sortCondition ref="A9:A194"/>
  </sortState>
  <pageMargins left="0.25" right="0.25" top="0.75" bottom="0.75" header="0.3" footer="0.3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2023-2024 Other State Funding</vt:lpstr>
      <vt:lpstr>School Numbers</vt:lpstr>
      <vt:lpstr>'2023-2024 Other State Funding'!Print_Area</vt:lpstr>
      <vt:lpstr>'School Numbers'!Print_Area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Other-Funding-(Line-6)-for-FY2019</dc:title>
  <dc:subject>Public School Finance</dc:subject>
  <dc:creator>Julie Oberle</dc:creator>
  <cp:keywords>School Finance</cp:keywords>
  <cp:lastModifiedBy>Aaron McCoy</cp:lastModifiedBy>
  <cp:lastPrinted>2023-03-23T20:29:38Z</cp:lastPrinted>
  <dcterms:created xsi:type="dcterms:W3CDTF">2016-03-24T20:24:14Z</dcterms:created>
  <dcterms:modified xsi:type="dcterms:W3CDTF">2023-03-23T20:29:59Z</dcterms:modified>
  <cp:category>School-Finance</cp:category>
</cp:coreProperties>
</file>