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bdickens\Downloads\"/>
    </mc:Choice>
  </mc:AlternateContent>
  <xr:revisionPtr revIDLastSave="0" documentId="13_ncr:1_{6247FB4E-0B26-4739-8CC5-5E2DA6CBFAD1}" xr6:coauthVersionLast="47" xr6:coauthVersionMax="47" xr10:uidLastSave="{00000000-0000-0000-0000-000000000000}"/>
  <bookViews>
    <workbookView xWindow="-120" yWindow="-120" windowWidth="29040" windowHeight="15720" activeTab="1" xr2:uid="{00000000-000D-0000-FFFF-FFFF00000000}"/>
  </bookViews>
  <sheets>
    <sheet name="Enrollment Input" sheetId="6" r:id="rId1"/>
    <sheet name="Attendance % Assistance" sheetId="11" r:id="rId2"/>
    <sheet name="Midterm Units" sheetId="2" r:id="rId3"/>
    <sheet name="Best 28 Units" sheetId="12" r:id="rId4"/>
    <sheet name="Exceptional Child Calc" sheetId="1" r:id="rId5"/>
    <sheet name="criteria" sheetId="7" state="hidden" r:id="rId6"/>
  </sheets>
  <definedNames>
    <definedName name="_xlnm._FilterDatabase" localSheetId="5" hidden="1">criteria!$A$16:$B$25</definedName>
    <definedName name="_xlnm.Criteria" localSheetId="5">criteria!$A$13:$A$14</definedName>
    <definedName name="_xlnm.Extract" localSheetId="5">criteria!$E$16:$F$16</definedName>
    <definedName name="_xlnm.Print_Area" localSheetId="3">'Best 28 Units'!$A$1:$P$36</definedName>
    <definedName name="_xlnm.Print_Area" localSheetId="0">'Enrollment Input'!$A$1:$H$46</definedName>
    <definedName name="_xlnm.Print_Area" localSheetId="2">'Midterm Units'!$A$1:$P$36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1" l="1"/>
  <c r="G27" i="6" l="1"/>
  <c r="AB34" i="12" l="1"/>
  <c r="T34" i="12"/>
  <c r="J34" i="12"/>
  <c r="B34" i="12"/>
  <c r="AB32" i="12"/>
  <c r="AI32" i="12" s="1"/>
  <c r="T32" i="12"/>
  <c r="J32" i="12"/>
  <c r="Q32" i="12" s="1"/>
  <c r="B32" i="12"/>
  <c r="AB26" i="12"/>
  <c r="O15" i="12"/>
  <c r="AH6" i="12"/>
  <c r="AE34" i="12" l="1"/>
  <c r="AG34" i="12" s="1"/>
  <c r="M34" i="12"/>
  <c r="O34" i="12" s="1"/>
  <c r="AB34" i="2"/>
  <c r="AB32" i="2"/>
  <c r="AI32" i="2" s="1"/>
  <c r="T34" i="2"/>
  <c r="T32" i="2" l="1"/>
  <c r="B32" i="2"/>
  <c r="AE34" i="2" l="1"/>
  <c r="AB26" i="2"/>
  <c r="AH6" i="2"/>
  <c r="AG34" i="2" l="1"/>
  <c r="G21" i="6"/>
  <c r="G19" i="6"/>
  <c r="G18" i="6"/>
  <c r="G15" i="6"/>
  <c r="E21" i="6"/>
  <c r="E19" i="6"/>
  <c r="E18" i="6"/>
  <c r="E15" i="6"/>
  <c r="J7" i="2" s="1"/>
  <c r="G38" i="6" l="1"/>
  <c r="E38" i="6"/>
  <c r="J7" i="12"/>
  <c r="M7" i="12" s="1"/>
  <c r="Q7" i="12" s="1"/>
  <c r="O7" i="12" s="1"/>
  <c r="P7" i="12" s="1"/>
  <c r="AB7" i="12"/>
  <c r="AE7" i="12" s="1"/>
  <c r="AI7" i="12" s="1"/>
  <c r="AG7" i="12" s="1"/>
  <c r="AH7" i="12" s="1"/>
  <c r="F7" i="12"/>
  <c r="X7" i="12"/>
  <c r="AB18" i="12"/>
  <c r="AE18" i="12" s="1"/>
  <c r="X7" i="2"/>
  <c r="AB7" i="2"/>
  <c r="AE7" i="2" s="1"/>
  <c r="AI7" i="2" s="1"/>
  <c r="AB18" i="2"/>
  <c r="AE18" i="2" s="1"/>
  <c r="AE32" i="2" s="1"/>
  <c r="AG32" i="2" s="1"/>
  <c r="G20" i="6"/>
  <c r="H10" i="1"/>
  <c r="H13" i="1"/>
  <c r="H16" i="1"/>
  <c r="E20" i="6"/>
  <c r="J16" i="2" s="1"/>
  <c r="H31" i="1"/>
  <c r="H37" i="1"/>
  <c r="J34" i="2"/>
  <c r="M7" i="2"/>
  <c r="Q7" i="2" s="1"/>
  <c r="O7" i="2" s="1"/>
  <c r="P7" i="2" s="1"/>
  <c r="J32" i="2"/>
  <c r="B34" i="2"/>
  <c r="F7" i="2"/>
  <c r="J22" i="12" l="1"/>
  <c r="AB22" i="12"/>
  <c r="AI18" i="12"/>
  <c r="AG18" i="12" s="1"/>
  <c r="AE32" i="12"/>
  <c r="AG32" i="12" s="1"/>
  <c r="X18" i="12"/>
  <c r="AB22" i="2"/>
  <c r="X18" i="2"/>
  <c r="AI18" i="2"/>
  <c r="AG18" i="2" s="1"/>
  <c r="AH18" i="2" s="1"/>
  <c r="AG7" i="2"/>
  <c r="AH7" i="2" s="1"/>
  <c r="H39" i="1"/>
  <c r="H41" i="1" s="1"/>
  <c r="H43" i="1" s="1"/>
  <c r="K13" i="1"/>
  <c r="B26" i="1" s="1"/>
  <c r="Q32" i="2"/>
  <c r="M34" i="2"/>
  <c r="O34" i="2" s="1"/>
  <c r="H18" i="1"/>
  <c r="H20" i="1" s="1"/>
  <c r="H22" i="1" s="1"/>
  <c r="K10" i="1"/>
  <c r="B25" i="1" s="1"/>
  <c r="J22" i="2"/>
  <c r="AH18" i="12" l="1"/>
  <c r="H18" i="2"/>
  <c r="J26" i="12"/>
  <c r="H18" i="12"/>
  <c r="J18" i="12"/>
  <c r="AB24" i="12"/>
  <c r="AB29" i="12" s="1"/>
  <c r="J24" i="12"/>
  <c r="AB24" i="2"/>
  <c r="AB29" i="2" s="1"/>
  <c r="J18" i="2"/>
  <c r="J26" i="2"/>
  <c r="D25" i="1"/>
  <c r="H25" i="1" s="1"/>
  <c r="J24" i="2"/>
  <c r="D26" i="1"/>
  <c r="J29" i="12" l="1"/>
  <c r="M29" i="12" s="1"/>
  <c r="Q29" i="12" s="1"/>
  <c r="O29" i="12" s="1"/>
  <c r="P29" i="12" s="1"/>
  <c r="M18" i="12"/>
  <c r="F18" i="12"/>
  <c r="AE29" i="12"/>
  <c r="AI29" i="12" s="1"/>
  <c r="AG29" i="12" s="1"/>
  <c r="AH29" i="12" s="1"/>
  <c r="M18" i="2"/>
  <c r="AE29" i="2"/>
  <c r="AI29" i="2" s="1"/>
  <c r="AG29" i="2" s="1"/>
  <c r="AH29" i="2" s="1"/>
  <c r="F18" i="2"/>
  <c r="J29" i="2"/>
  <c r="M29" i="2" s="1"/>
  <c r="Q29" i="2" s="1"/>
  <c r="H26" i="1"/>
  <c r="Q18" i="12" l="1"/>
  <c r="M32" i="12"/>
  <c r="O32" i="12" s="1"/>
  <c r="AB13" i="12"/>
  <c r="Z13" i="12" s="1"/>
  <c r="J13" i="12"/>
  <c r="H13" i="12" s="1"/>
  <c r="J11" i="12"/>
  <c r="M13" i="12"/>
  <c r="AB16" i="12"/>
  <c r="J16" i="12"/>
  <c r="AB11" i="12"/>
  <c r="AE11" i="12"/>
  <c r="M11" i="12"/>
  <c r="AE13" i="12"/>
  <c r="Q18" i="2"/>
  <c r="O18" i="2" s="1"/>
  <c r="P18" i="2" s="1"/>
  <c r="M32" i="2"/>
  <c r="O32" i="2" s="1"/>
  <c r="O29" i="2"/>
  <c r="P29" i="2" s="1"/>
  <c r="AB16" i="2"/>
  <c r="AB13" i="2"/>
  <c r="AB11" i="2"/>
  <c r="AE11" i="2"/>
  <c r="AE13" i="2"/>
  <c r="M11" i="2"/>
  <c r="J13" i="2"/>
  <c r="M13" i="2"/>
  <c r="J11" i="2"/>
  <c r="Q13" i="12" l="1"/>
  <c r="O18" i="12"/>
  <c r="P18" i="12" s="1"/>
  <c r="AI13" i="12"/>
  <c r="F13" i="12"/>
  <c r="X13" i="12"/>
  <c r="Q11" i="12"/>
  <c r="X16" i="12"/>
  <c r="AE16" i="12"/>
  <c r="AI16" i="12" s="1"/>
  <c r="AG16" i="12" s="1"/>
  <c r="AH16" i="12" s="1"/>
  <c r="Z16" i="12"/>
  <c r="Z11" i="12"/>
  <c r="X11" i="12"/>
  <c r="H16" i="12"/>
  <c r="F16" i="12"/>
  <c r="M16" i="12"/>
  <c r="Q16" i="12" s="1"/>
  <c r="O16" i="12" s="1"/>
  <c r="P16" i="12" s="1"/>
  <c r="F11" i="12"/>
  <c r="H11" i="12"/>
  <c r="AI11" i="12"/>
  <c r="Q13" i="2"/>
  <c r="AI11" i="2"/>
  <c r="AI13" i="2"/>
  <c r="F11" i="2"/>
  <c r="Q11" i="2"/>
  <c r="Z16" i="2"/>
  <c r="X16" i="2"/>
  <c r="AE16" i="2"/>
  <c r="AI16" i="2" s="1"/>
  <c r="AG16" i="2" s="1"/>
  <c r="AH16" i="2" s="1"/>
  <c r="Z13" i="2"/>
  <c r="X13" i="2"/>
  <c r="Z11" i="2"/>
  <c r="X11" i="2"/>
  <c r="F13" i="2"/>
  <c r="H13" i="2"/>
  <c r="M16" i="2"/>
  <c r="Q16" i="2" s="1"/>
  <c r="O16" i="2" s="1"/>
  <c r="P16" i="2" s="1"/>
  <c r="H16" i="2"/>
  <c r="F16" i="2"/>
  <c r="H11" i="2"/>
  <c r="AH14" i="12" l="1"/>
  <c r="AG14" i="12" s="1"/>
  <c r="O13" i="12"/>
  <c r="P13" i="12" s="1"/>
  <c r="P14" i="12"/>
  <c r="O14" i="12" s="1"/>
  <c r="AH14" i="2"/>
  <c r="AG14" i="2" s="1"/>
  <c r="P14" i="2"/>
  <c r="O14" i="2" s="1"/>
  <c r="O11" i="12"/>
  <c r="P11" i="12" s="1"/>
  <c r="AG13" i="12"/>
  <c r="AH13" i="12" s="1"/>
  <c r="AG11" i="12"/>
  <c r="AG11" i="2"/>
  <c r="AH11" i="2" s="1"/>
  <c r="AG13" i="2"/>
  <c r="AH13" i="2" s="1"/>
  <c r="O13" i="2"/>
  <c r="P13" i="2" s="1"/>
  <c r="O11" i="2"/>
  <c r="P11" i="2" s="1"/>
  <c r="N36" i="12" l="1"/>
  <c r="AH11" i="12"/>
  <c r="AF36" i="12"/>
  <c r="AF36" i="2"/>
  <c r="N36" i="2"/>
  <c r="M37" i="2" l="1"/>
  <c r="AE37" i="12"/>
  <c r="M37" i="12"/>
  <c r="AE37" i="2"/>
</calcChain>
</file>

<file path=xl/sharedStrings.xml><?xml version="1.0" encoding="utf-8"?>
<sst xmlns="http://schemas.openxmlformats.org/spreadsheetml/2006/main" count="334" uniqueCount="123">
  <si>
    <t>ESTIMATING EXCEPTIONAL CHILD UNIT APPROVALS</t>
  </si>
  <si>
    <t>ELEMENTARY</t>
  </si>
  <si>
    <t>1.</t>
  </si>
  <si>
    <t>2.</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</si>
  <si>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</si>
  <si>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</si>
  <si>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</si>
  <si>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</si>
  <si>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</si>
  <si>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</si>
  <si>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</si>
  <si>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</si>
  <si>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</si>
  <si>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</si>
  <si>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</si>
  <si>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</si>
  <si>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</si>
  <si>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</si>
  <si>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</si>
  <si>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</si>
  <si>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</si>
  <si>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</si>
  <si>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</si>
  <si>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</si>
  <si>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</si>
  <si>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</si>
  <si>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</si>
  <si>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</si>
  <si>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</si>
  <si>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</si>
  <si>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</si>
  <si>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</si>
  <si>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</si>
  <si>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</si>
  <si>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</si>
  <si>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</si>
  <si>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</si>
  <si>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</si>
  <si>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ADMINISTRATIVE UNITS</t>
  </si>
  <si>
    <t>Grades 1-3</t>
  </si>
  <si>
    <t>Grades 4-6</t>
  </si>
  <si>
    <t>Grades 1-6</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</si>
  <si>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</si>
  <si>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</si>
  <si>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</si>
  <si>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</si>
  <si>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</si>
  <si>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t>Elementary</t>
  </si>
  <si>
    <t>Secondary</t>
  </si>
  <si>
    <t>grades 4-6 Portion</t>
  </si>
  <si>
    <t>X</t>
  </si>
  <si>
    <t>grades 1-3 Portion</t>
  </si>
  <si>
    <t>6.a</t>
  </si>
  <si>
    <t>6.b</t>
  </si>
  <si>
    <t>KINDERGARTEN</t>
  </si>
  <si>
    <t>Low</t>
  </si>
  <si>
    <t>Elementary grades 1-3</t>
  </si>
  <si>
    <t>Unit</t>
  </si>
  <si>
    <t>Elementary grades 4-6</t>
  </si>
  <si>
    <t>Exceptional Education</t>
  </si>
  <si>
    <t>Elementary grades 1-6</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</si>
  <si>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</si>
  <si>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</si>
  <si>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</si>
  <si>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</si>
  <si>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</si>
  <si>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</si>
  <si>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</si>
  <si>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</si>
  <si>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</si>
  <si>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</si>
  <si>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</si>
  <si>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</si>
  <si>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</si>
  <si>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</si>
  <si>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</si>
  <si>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</si>
  <si>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 xml:space="preserve">        student, total the number of hours and</t>
  </si>
  <si>
    <t>less than 300:</t>
  </si>
  <si>
    <t>Charter Schools Only</t>
  </si>
  <si>
    <t>BUDGET WORKSHEETS</t>
  </si>
  <si>
    <t>Fall Enrollment, grades K-3</t>
  </si>
  <si>
    <t>Fall Enrollment, grades 4-6</t>
  </si>
  <si>
    <t>Fall enrollment for regular secondary</t>
  </si>
  <si>
    <t>Preschool Student Approvals</t>
  </si>
  <si>
    <t>ALTERNATIVE SCHOOL UNITS</t>
  </si>
  <si>
    <t>Through Midterm Reporting period</t>
  </si>
  <si>
    <t>*</t>
  </si>
  <si>
    <t>**</t>
  </si>
  <si>
    <t>Estimated ADA for Midterm Period</t>
  </si>
  <si>
    <t>Estimated ADA for Best 28 Weeks</t>
  </si>
  <si>
    <t>Alternative School Estimated ADA is based on the following calculation:</t>
  </si>
  <si>
    <t>Summer Alternative School Estimated ADA is based on the following calculation:</t>
  </si>
  <si>
    <t>Aggregated attendance hours ÷ 225</t>
  </si>
  <si>
    <r>
      <t xml:space="preserve">Aggregated attendance hours </t>
    </r>
    <r>
      <rPr>
        <sz val="10"/>
        <rFont val="Calibri"/>
        <family val="2"/>
      </rPr>
      <t>÷</t>
    </r>
    <r>
      <rPr>
        <sz val="10"/>
        <rFont val="Arial"/>
        <family val="2"/>
      </rPr>
      <t xml:space="preserve"> days in session ÷ either 5 or 4 day a week program divisor</t>
    </r>
  </si>
  <si>
    <t>*Alternative School</t>
  </si>
  <si>
    <t>**Summer Alternative School</t>
  </si>
  <si>
    <t>Exceptional Preschool</t>
  </si>
  <si>
    <t>(Use divisor of 5 for 5 day program. Use divisor of 6.25 for 4 day or less program )</t>
  </si>
  <si>
    <t>Exceptional Students Eligible for Tuition Equivalency Allowance</t>
  </si>
  <si>
    <t>(estimated midterm %)</t>
  </si>
  <si>
    <t>(estimated B28 wks %)</t>
  </si>
  <si>
    <t>See the Attendance % Assistance worksheet for help.</t>
  </si>
  <si>
    <t>Estimating Average Attendance Percentages</t>
  </si>
  <si>
    <t xml:space="preserve">If you do not have historical attendance rates readily available, consider using the guidance/reports below to estimate midterm and best 28 weeks average attendance percentages. </t>
  </si>
  <si>
    <t>TOTAL Estimated Support Units (Rounded to nearest hundredth)</t>
  </si>
  <si>
    <t>Through Midterm Reporting Period</t>
  </si>
  <si>
    <t>Without Secondary Special Education Approved Allocation</t>
  </si>
  <si>
    <t>With Secondary Special Education Approved Allocation</t>
  </si>
  <si>
    <t>Exceptional Pre-K Students</t>
  </si>
  <si>
    <t>ADA Totals</t>
  </si>
  <si>
    <t>Hours &amp; minutes of service per student per week. Example: 8 hrs 40 mins entered as 8.67</t>
  </si>
  <si>
    <t>Enter estimated fall enrollment</t>
  </si>
  <si>
    <t>Kindergarten</t>
  </si>
  <si>
    <t>Optional programs - Enter information (less common)</t>
  </si>
  <si>
    <t>Best 28 Weeks Reporting Period</t>
  </si>
  <si>
    <t>Estimated
Fall Enrollment</t>
  </si>
  <si>
    <r>
      <rPr>
        <u/>
        <sz val="11"/>
        <rFont val="Arial"/>
        <family val="2"/>
      </rPr>
      <t xml:space="preserve">Estimated midterm % </t>
    </r>
    <r>
      <rPr>
        <sz val="11"/>
        <rFont val="Arial"/>
        <family val="2"/>
      </rPr>
      <t xml:space="preserve">
1 - Run the report titled "Attendance Current Year Support Unit Calculation" for the current year's midterm reporting period from the ISEE portal. Take the Total ADA amount (highlighted green in the example on the right) and subtract the Preschool amount (highlighted yellow). This result will be used in step 3.
2 - Run the report titled "Net Enrollment" for the current year's Period 1 (midterm period) from the ISEE portal. Add together the All Grades Net Total amounts and subtract all Preschool amounts. This result will be used in step 3.
3 - Divide result from step 1 by the result from step 2. Enter this percentage in cell G4 on the Input Enrollment sheet. 
</t>
    </r>
    <r>
      <rPr>
        <u/>
        <sz val="11"/>
        <rFont val="Arial"/>
        <family val="2"/>
      </rPr>
      <t>Estimated B28 %</t>
    </r>
    <r>
      <rPr>
        <sz val="11"/>
        <rFont val="Arial"/>
        <family val="2"/>
      </rPr>
      <t xml:space="preserve">
1 - Run the report titled "Attendance Current Year Support Unit Calculation" but for last year's best 28 weeks reporting period from the ISEE portal. Take the Total ADA amount (highlighted blue in the example on the right) and subtract the Preschool amount (highlighted red). This result will be used in step 3.
2 - Retrieve from the SDE Secure Website the most recently completed year's "NetEnrollmentAllYear.pdf" report (found in the July folder). Add together the All Grades Net Total amounts and subtract all Preschool amounts. This result will be used in step 3.
3 - Divide result from step 1 by the result from step 2. Enter this percentage in cell G7 on the Input Enrollment sheet.</t>
    </r>
  </si>
  <si>
    <t>The purpose of this worksheet is to help estimate your 2025-2026 midterm and best 28 weeks support units. Entering information into the highlighted cells on this worksheet will populate the other worksheets in this file.</t>
  </si>
  <si>
    <t>Support units for the 2025-2026 school year will be calculated using ADA based on Instructional/Seat Time (4.0 and 2.5 hours).</t>
  </si>
  <si>
    <t>Based on your historical attendance, enter an estimated average student attendance percentage for the 2025-2026 midterm reporting period (1st day of school thru 1st Friday in November).</t>
  </si>
  <si>
    <t>Based on your historical attendance, enter an estimated average student attendance percentage for the 2025-2026 best 28 weeks.</t>
  </si>
  <si>
    <r>
      <t xml:space="preserve">Secondary </t>
    </r>
    <r>
      <rPr>
        <u/>
        <sz val="12"/>
        <rFont val="Arial"/>
        <family val="2"/>
      </rPr>
      <t>exceptional</t>
    </r>
    <r>
      <rPr>
        <sz val="12"/>
        <rFont val="Arial"/>
        <family val="2"/>
      </rPr>
      <t xml:space="preserve"> students eligible for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</si>
</sst>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6"/>
      <name val="Arial"/>
      <family val="2"/>
    </font>
    <font>
      <sz val="10"/>
      <color indexed="9"/>
      <name val="Arial"/>
      <family val="2"/>
    </font>
    <font>
      <sz val="10"/>
      <name val="Arial"/>
      <family val="2"/>
    </font>
    <font>
      <sz val="10"/>
      <name val="Calibri"/>
      <family val="2"/>
    </font>
    <font>
      <u/>
      <sz val="9"/>
      <name val="Arial"/>
      <family val="2"/>
    </font>
    <font>
      <b/>
      <sz val="10"/>
      <name val="Arial"/>
      <family val="2"/>
    </font>
    <font>
      <u/>
      <sz val="11"/>
      <name val="Arial"/>
      <family val="2"/>
    </font>
    <font>
      <b/>
      <sz val="16"/>
      <color rgb="FFC00000"/>
      <name val="Arial"/>
      <family val="2"/>
    </font>
    <font>
      <sz val="10"/>
      <color theme="0"/>
      <name val="Arial"/>
      <family val="2"/>
    </font>
    <font>
      <sz val="10"/>
      <color theme="4"/>
      <name val="Arial"/>
      <family val="2"/>
    </font>
    <font>
      <b/>
      <i/>
      <sz val="10"/>
      <name val="Arial"/>
      <family val="2"/>
    </font>
    <font>
      <b/>
      <sz val="10"/>
      <color rgb="FFFF0000"/>
      <name val="Arial"/>
      <family val="2"/>
    </font>
    <font>
      <b/>
      <sz val="10"/>
      <color rgb="FFA20000"/>
      <name val="Arial"/>
      <family val="2"/>
    </font>
    <font>
      <sz val="10"/>
      <color theme="0" tint="-0.249977111117893"/>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2">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4" fillId="0" borderId="0" applyFont="0" applyFill="0" applyBorder="0" applyAlignment="0" applyProtection="0"/>
    <xf numFmtId="0" fontId="5" fillId="0" borderId="0"/>
  </cellStyleXfs>
  <cellXfs count="111">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49" fontId="1" fillId="0" borderId="0" xfId="0" applyNumberFormat="1" applyFont="1"/>
    <xf numFmtId="0" fontId="5" fillId="0" borderId="0" xfId="0" applyFont="1"/>
    <xf numFmtId="0" fontId="3" fillId="0" borderId="0" xfId="0" applyFont="1"/>
    <xf numFmtId="0" fontId="6" fillId="0" borderId="0" xfId="0" applyFont="1"/>
    <xf numFmtId="0" fontId="0" fillId="0" borderId="1" xfId="0" applyBorder="1" applyAlignment="1">
      <alignment horizontal="center"/>
    </xf>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0" xfId="0" applyNumberFormat="1" applyAlignment="1">
      <alignment horizontal="center"/>
    </xf>
    <xf numFmtId="0" fontId="8" fillId="0" borderId="0" xfId="0" applyFont="1" applyAlignment="1">
      <alignment horizontal="left" wrapText="1"/>
    </xf>
    <xf numFmtId="49" fontId="3" fillId="0" borderId="0" xfId="0" applyNumberFormat="1" applyFont="1" applyAlignment="1">
      <alignment horizontal="center" wrapText="1"/>
    </xf>
    <xf numFmtId="0" fontId="3" fillId="0" borderId="0" xfId="0" applyFont="1" applyAlignment="1">
      <alignment horizontal="center"/>
    </xf>
    <xf numFmtId="0" fontId="5" fillId="0" borderId="0" xfId="0" applyFont="1" applyAlignment="1">
      <alignment horizontal="center" wrapText="1"/>
    </xf>
    <xf numFmtId="0" fontId="13" fillId="0" borderId="0" xfId="0" applyFont="1"/>
    <xf numFmtId="0" fontId="10" fillId="2" borderId="0" xfId="0" applyFont="1" applyFill="1" applyAlignment="1">
      <alignment horizontal="center"/>
    </xf>
    <xf numFmtId="3" fontId="9" fillId="4" borderId="2" xfId="0" applyNumberFormat="1" applyFont="1" applyFill="1" applyBorder="1" applyAlignment="1" applyProtection="1">
      <alignment horizontal="center"/>
      <protection locked="0"/>
    </xf>
    <xf numFmtId="3" fontId="9" fillId="4" borderId="3" xfId="0" applyNumberFormat="1" applyFont="1" applyFill="1" applyBorder="1" applyAlignment="1" applyProtection="1">
      <alignment horizontal="center"/>
      <protection locked="0"/>
    </xf>
    <xf numFmtId="4" fontId="9" fillId="4" borderId="2" xfId="0" applyNumberFormat="1" applyFont="1" applyFill="1" applyBorder="1" applyAlignment="1" applyProtection="1">
      <alignment horizontal="center"/>
      <protection locked="0"/>
    </xf>
    <xf numFmtId="4" fontId="10" fillId="4" borderId="2" xfId="0" applyNumberFormat="1" applyFont="1" applyFill="1" applyBorder="1" applyAlignment="1" applyProtection="1">
      <alignment horizontal="center"/>
      <protection locked="0"/>
    </xf>
    <xf numFmtId="164" fontId="9" fillId="4" borderId="2" xfId="0" applyNumberFormat="1"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0" fillId="2" borderId="0" xfId="0" applyFill="1" applyAlignment="1">
      <alignment horizontal="center"/>
    </xf>
    <xf numFmtId="0" fontId="0" fillId="0" borderId="0" xfId="0" applyAlignment="1">
      <alignment horizontal="right"/>
    </xf>
    <xf numFmtId="0" fontId="5" fillId="0" borderId="0" xfId="0" applyFont="1" applyAlignment="1">
      <alignment horizontal="left" indent="1"/>
    </xf>
    <xf numFmtId="0" fontId="0" fillId="2" borderId="0" xfId="0" applyFill="1"/>
    <xf numFmtId="0" fontId="16" fillId="0" borderId="0" xfId="0" applyFont="1"/>
    <xf numFmtId="0" fontId="0" fillId="3" borderId="0" xfId="0" applyFill="1"/>
    <xf numFmtId="0" fontId="0" fillId="3" borderId="0" xfId="0" applyFill="1" applyAlignment="1">
      <alignment horizontal="left" wrapText="1" indent="1"/>
    </xf>
    <xf numFmtId="164" fontId="9" fillId="3" borderId="0" xfId="0" applyNumberFormat="1" applyFont="1" applyFill="1" applyAlignment="1">
      <alignment horizontal="center"/>
    </xf>
    <xf numFmtId="49" fontId="5" fillId="2" borderId="0" xfId="0" applyNumberFormat="1" applyFont="1" applyFill="1"/>
    <xf numFmtId="4" fontId="9" fillId="2" borderId="0" xfId="0" applyNumberFormat="1" applyFont="1" applyFill="1" applyAlignment="1">
      <alignment horizontal="center"/>
    </xf>
    <xf numFmtId="49" fontId="3" fillId="0" borderId="0" xfId="0" applyNumberFormat="1" applyFont="1"/>
    <xf numFmtId="4" fontId="9" fillId="3" borderId="0" xfId="0" applyNumberFormat="1" applyFont="1" applyFill="1" applyAlignment="1">
      <alignment horizontal="center"/>
    </xf>
    <xf numFmtId="4" fontId="10" fillId="3" borderId="0" xfId="0" applyNumberFormat="1" applyFont="1" applyFill="1" applyAlignment="1">
      <alignment horizontal="center"/>
    </xf>
    <xf numFmtId="0" fontId="3" fillId="2" borderId="0" xfId="0" applyFont="1" applyFill="1"/>
    <xf numFmtId="3" fontId="9" fillId="2" borderId="0" xfId="0" applyNumberFormat="1" applyFont="1" applyFill="1" applyAlignment="1">
      <alignment horizontal="center"/>
    </xf>
    <xf numFmtId="4" fontId="10" fillId="2" borderId="0" xfId="0" applyNumberFormat="1" applyFont="1" applyFill="1" applyAlignment="1">
      <alignment horizontal="center"/>
    </xf>
    <xf numFmtId="3" fontId="11" fillId="2" borderId="0" xfId="0" applyNumberFormat="1" applyFont="1" applyFill="1" applyAlignment="1">
      <alignment horizontal="center"/>
    </xf>
    <xf numFmtId="4" fontId="9" fillId="0" borderId="2" xfId="0" applyNumberFormat="1" applyFont="1" applyBorder="1" applyAlignment="1">
      <alignment horizontal="center"/>
    </xf>
    <xf numFmtId="4" fontId="10" fillId="0" borderId="2" xfId="0" applyNumberFormat="1" applyFont="1" applyBorder="1" applyAlignment="1">
      <alignment horizontal="center"/>
    </xf>
    <xf numFmtId="3" fontId="0" fillId="2" borderId="0" xfId="0" applyNumberFormat="1" applyFill="1" applyAlignment="1">
      <alignment horizontal="center"/>
    </xf>
    <xf numFmtId="0" fontId="1" fillId="0" borderId="2" xfId="0" applyFont="1" applyBorder="1" applyAlignment="1">
      <alignment wrapText="1"/>
    </xf>
    <xf numFmtId="0" fontId="12" fillId="0" borderId="0" xfId="0" applyFont="1"/>
    <xf numFmtId="9" fontId="5" fillId="0" borderId="0" xfId="0" applyNumberFormat="1" applyFont="1" applyAlignment="1">
      <alignment horizontal="center" wrapText="1"/>
    </xf>
    <xf numFmtId="0" fontId="1" fillId="0" borderId="7" xfId="0" applyFont="1" applyBorder="1" applyAlignment="1">
      <alignment wrapText="1"/>
    </xf>
    <xf numFmtId="0" fontId="5" fillId="0" borderId="0" xfId="2"/>
    <xf numFmtId="0" fontId="2" fillId="0" borderId="0" xfId="0" applyFont="1" applyAlignment="1">
      <alignment horizontal="center" vertical="center"/>
    </xf>
    <xf numFmtId="0" fontId="0" fillId="0" borderId="1" xfId="0" applyBorder="1"/>
    <xf numFmtId="4" fontId="0" fillId="0" borderId="1" xfId="0" applyNumberFormat="1" applyBorder="1" applyAlignment="1">
      <alignment horizontal="center"/>
    </xf>
    <xf numFmtId="0" fontId="20" fillId="0" borderId="0" xfId="0" applyFont="1"/>
    <xf numFmtId="0" fontId="13" fillId="0" borderId="11" xfId="0" applyFont="1" applyBorder="1"/>
    <xf numFmtId="4" fontId="1" fillId="0" borderId="0" xfId="0" applyNumberFormat="1" applyFont="1" applyAlignment="1">
      <alignment horizontal="center"/>
    </xf>
    <xf numFmtId="0" fontId="21" fillId="0" borderId="0" xfId="0" applyFont="1"/>
    <xf numFmtId="0" fontId="20" fillId="0" borderId="11" xfId="0" applyFont="1" applyBorder="1"/>
    <xf numFmtId="0" fontId="5" fillId="0" borderId="0" xfId="0" applyFont="1" applyAlignment="1">
      <alignment horizontal="center"/>
    </xf>
    <xf numFmtId="0" fontId="5" fillId="0" borderId="0" xfId="0" applyFont="1" applyAlignment="1">
      <alignment horizontal="right"/>
    </xf>
    <xf numFmtId="4" fontId="9" fillId="0" borderId="0" xfId="0" applyNumberFormat="1" applyFont="1" applyAlignment="1">
      <alignment horizontal="center"/>
    </xf>
    <xf numFmtId="0" fontId="17" fillId="3" borderId="0" xfId="0" applyFont="1" applyFill="1" applyAlignment="1">
      <alignment horizontal="center"/>
    </xf>
    <xf numFmtId="9" fontId="5" fillId="3" borderId="0" xfId="0" applyNumberFormat="1" applyFont="1" applyFill="1" applyAlignment="1">
      <alignment horizontal="center" wrapText="1"/>
    </xf>
    <xf numFmtId="0" fontId="17" fillId="3" borderId="0" xfId="0" applyFont="1" applyFill="1" applyAlignment="1">
      <alignment horizontal="left"/>
    </xf>
    <xf numFmtId="3" fontId="25" fillId="2" borderId="0" xfId="0" applyNumberFormat="1" applyFont="1" applyFill="1" applyAlignment="1">
      <alignment horizontal="center"/>
    </xf>
    <xf numFmtId="0" fontId="0" fillId="0" borderId="0" xfId="0" applyAlignment="1">
      <alignment horizontal="left" indent="4"/>
    </xf>
    <xf numFmtId="0" fontId="19" fillId="0" borderId="0" xfId="0" applyFont="1" applyAlignment="1">
      <alignment horizontal="center"/>
    </xf>
    <xf numFmtId="0" fontId="6" fillId="0" borderId="6" xfId="0" applyFont="1" applyBorder="1" applyAlignment="1">
      <alignment wrapText="1"/>
    </xf>
    <xf numFmtId="0" fontId="6" fillId="0" borderId="7" xfId="0" applyFont="1" applyBorder="1" applyAlignment="1">
      <alignment wrapText="1"/>
    </xf>
    <xf numFmtId="10" fontId="1" fillId="4" borderId="3" xfId="1" applyNumberFormat="1" applyFont="1" applyFill="1" applyBorder="1" applyAlignment="1" applyProtection="1">
      <alignment horizontal="center" vertical="center" wrapText="1"/>
      <protection locked="0"/>
    </xf>
    <xf numFmtId="10" fontId="1" fillId="4" borderId="10" xfId="1" applyNumberFormat="1" applyFont="1" applyFill="1" applyBorder="1" applyAlignment="1" applyProtection="1">
      <alignment horizontal="center" vertical="center" wrapText="1"/>
      <protection locked="0"/>
    </xf>
    <xf numFmtId="0" fontId="5" fillId="0" borderId="0" xfId="0" applyFont="1" applyAlignment="1">
      <alignment horizontal="left" wrapText="1" indent="4"/>
    </xf>
    <xf numFmtId="0" fontId="0" fillId="0" borderId="0" xfId="0" applyAlignment="1">
      <alignment horizontal="left" wrapText="1" indent="4"/>
    </xf>
    <xf numFmtId="0" fontId="17" fillId="0" borderId="0" xfId="0" applyFont="1" applyAlignment="1">
      <alignment horizontal="left"/>
    </xf>
    <xf numFmtId="3" fontId="11" fillId="2" borderId="0" xfId="0" applyNumberFormat="1" applyFont="1" applyFill="1" applyAlignment="1">
      <alignment horizontal="center"/>
    </xf>
    <xf numFmtId="0" fontId="17" fillId="3" borderId="0" xfId="0" applyFont="1" applyFill="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6" fillId="0" borderId="0" xfId="0" applyFont="1" applyAlignment="1">
      <alignment wrapText="1"/>
    </xf>
    <xf numFmtId="0" fontId="5" fillId="0" borderId="0" xfId="0" applyFont="1" applyAlignment="1">
      <alignment horizontal="center" vertical="center" wrapText="1"/>
    </xf>
    <xf numFmtId="0" fontId="0" fillId="0" borderId="0" xfId="0" applyAlignment="1">
      <alignment horizontal="center" vertical="center" wrapText="1"/>
    </xf>
    <xf numFmtId="0" fontId="22" fillId="0" borderId="8" xfId="0" applyFont="1" applyBorder="1" applyAlignment="1">
      <alignment vertical="top" wrapText="1"/>
    </xf>
    <xf numFmtId="0" fontId="22" fillId="0" borderId="2" xfId="0" applyFont="1" applyBorder="1" applyAlignment="1">
      <alignment vertical="top" wrapText="1"/>
    </xf>
    <xf numFmtId="9" fontId="8" fillId="0" borderId="2" xfId="1" applyFont="1" applyBorder="1" applyAlignment="1" applyProtection="1">
      <alignment horizontal="center" vertical="top" wrapText="1"/>
    </xf>
    <xf numFmtId="9" fontId="12" fillId="0" borderId="9" xfId="1" applyFont="1" applyBorder="1" applyAlignment="1" applyProtection="1">
      <alignment horizontal="center" vertical="top" wrapText="1"/>
    </xf>
    <xf numFmtId="0" fontId="12" fillId="0" borderId="0" xfId="2" applyFont="1" applyAlignment="1">
      <alignment horizontal="center"/>
    </xf>
    <xf numFmtId="0" fontId="6" fillId="0" borderId="0" xfId="2" applyFont="1" applyAlignment="1">
      <alignment wrapText="1"/>
    </xf>
    <xf numFmtId="0" fontId="5" fillId="0" borderId="0" xfId="2"/>
    <xf numFmtId="0" fontId="0" fillId="0" borderId="1" xfId="0" applyBorder="1"/>
    <xf numFmtId="4" fontId="0" fillId="0" borderId="1" xfId="0" applyNumberFormat="1" applyBorder="1" applyAlignment="1">
      <alignment horizontal="center"/>
    </xf>
    <xf numFmtId="0" fontId="2" fillId="0" borderId="0" xfId="0" applyFont="1" applyAlignment="1">
      <alignment horizontal="center" vertical="center"/>
    </xf>
    <xf numFmtId="4" fontId="0" fillId="0" borderId="4" xfId="0" applyNumberFormat="1" applyBorder="1" applyAlignment="1">
      <alignment horizontal="center"/>
    </xf>
    <xf numFmtId="49" fontId="2" fillId="0" borderId="0" xfId="0" applyNumberFormat="1" applyFont="1" applyAlignment="1">
      <alignment horizontal="center"/>
    </xf>
    <xf numFmtId="0" fontId="24" fillId="0" borderId="0" xfId="0" applyFont="1" applyAlignment="1">
      <alignment horizontal="center"/>
    </xf>
    <xf numFmtId="0" fontId="23" fillId="0" borderId="0" xfId="0" applyFont="1" applyAlignment="1">
      <alignment horizontal="center"/>
    </xf>
    <xf numFmtId="4" fontId="0" fillId="0" borderId="4" xfId="0" applyNumberFormat="1" applyBorder="1" applyAlignment="1">
      <alignment horizontal="center" vertical="center"/>
    </xf>
    <xf numFmtId="0" fontId="0" fillId="0" borderId="0" xfId="0"/>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5" xfId="0" applyNumberFormat="1" applyFont="1" applyBorder="1" applyAlignment="1">
      <alignment horizontal="center"/>
    </xf>
  </cellXfs>
  <cellStyles count="3">
    <cellStyle name="Normal" xfId="0" builtinId="0"/>
    <cellStyle name="Normal 2" xfId="2" xr:uid="{C6CD7BC1-A093-4148-B1DC-88DB579F8A22}"/>
    <cellStyle name="Percent" xfId="1" builtinId="5"/>
  </cellStyles>
  <dxfs count="3">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xdr:colOff>
      <xdr:row>2</xdr:row>
      <xdr:rowOff>76199</xdr:rowOff>
    </xdr:from>
    <xdr:to>
      <xdr:col>15</xdr:col>
      <xdr:colOff>315184</xdr:colOff>
      <xdr:row>2</xdr:row>
      <xdr:rowOff>2085974</xdr:rowOff>
    </xdr:to>
    <xdr:pic>
      <xdr:nvPicPr>
        <xdr:cNvPr id="2" name="Picture 1" descr="Table showing total midterm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BDA5C266-ABE5-422D-85BD-09A130E6CAD8}"/>
            </a:ext>
          </a:extLst>
        </xdr:cNvPr>
        <xdr:cNvPicPr>
          <a:picLocks noChangeAspect="1"/>
        </xdr:cNvPicPr>
      </xdr:nvPicPr>
      <xdr:blipFill>
        <a:blip xmlns:r="http://schemas.openxmlformats.org/officeDocument/2006/relationships" r:embed="rId1"/>
        <a:stretch>
          <a:fillRect/>
        </a:stretch>
      </xdr:blipFill>
      <xdr:spPr>
        <a:xfrm>
          <a:off x="6115049" y="733424"/>
          <a:ext cx="3344135" cy="2009775"/>
        </a:xfrm>
        <a:prstGeom prst="rect">
          <a:avLst/>
        </a:prstGeom>
        <a:ln w="12700">
          <a:solidFill>
            <a:sysClr val="windowText" lastClr="000000"/>
          </a:solidFill>
        </a:ln>
      </xdr:spPr>
    </xdr:pic>
    <xdr:clientData/>
  </xdr:twoCellAnchor>
  <xdr:twoCellAnchor editAs="oneCell">
    <xdr:from>
      <xdr:col>10</xdr:col>
      <xdr:colOff>19050</xdr:colOff>
      <xdr:row>2</xdr:row>
      <xdr:rowOff>2257425</xdr:rowOff>
    </xdr:from>
    <xdr:to>
      <xdr:col>15</xdr:col>
      <xdr:colOff>483969</xdr:colOff>
      <xdr:row>2</xdr:row>
      <xdr:rowOff>3990974</xdr:rowOff>
    </xdr:to>
    <xdr:pic>
      <xdr:nvPicPr>
        <xdr:cNvPr id="4" name="Picture 3" descr="Table showing total best 28 weeks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4866D5F0-BF47-433D-96AB-CCA889D5AC1C}"/>
            </a:ext>
          </a:extLst>
        </xdr:cNvPr>
        <xdr:cNvPicPr>
          <a:picLocks noChangeAspect="1"/>
        </xdr:cNvPicPr>
      </xdr:nvPicPr>
      <xdr:blipFill>
        <a:blip xmlns:r="http://schemas.openxmlformats.org/officeDocument/2006/relationships" r:embed="rId2"/>
        <a:stretch>
          <a:fillRect/>
        </a:stretch>
      </xdr:blipFill>
      <xdr:spPr>
        <a:xfrm>
          <a:off x="6115050" y="2914650"/>
          <a:ext cx="3512919" cy="1733549"/>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I48"/>
  <sheetViews>
    <sheetView topLeftCell="A4" workbookViewId="0">
      <selection activeCell="G4" sqref="G4:H4"/>
    </sheetView>
  </sheetViews>
  <sheetFormatPr defaultColWidth="0" defaultRowHeight="12.75" zeroHeight="1" x14ac:dyDescent="0.2"/>
  <cols>
    <col min="1" max="1" width="9.140625" customWidth="1"/>
    <col min="2" max="2" width="24" customWidth="1"/>
    <col min="3" max="3" width="13.5703125" customWidth="1"/>
    <col min="4" max="4" width="3.140625" customWidth="1"/>
    <col min="5" max="5" width="14.7109375" customWidth="1"/>
    <col min="6" max="6" width="3.140625" customWidth="1"/>
    <col min="7" max="7" width="14.5703125" customWidth="1"/>
    <col min="8" max="8" width="3.140625" customWidth="1"/>
    <col min="9" max="9" width="9.140625" customWidth="1"/>
    <col min="10" max="16384" width="9.140625" hidden="1"/>
  </cols>
  <sheetData>
    <row r="1" spans="1:8" ht="20.25" x14ac:dyDescent="0.3">
      <c r="A1" s="76" t="s">
        <v>79</v>
      </c>
      <c r="B1" s="76"/>
      <c r="C1" s="76"/>
      <c r="D1" s="76"/>
      <c r="E1" s="76"/>
      <c r="F1" s="76"/>
      <c r="G1" s="76"/>
      <c r="H1" s="76"/>
    </row>
    <row r="2" spans="1:8" ht="48" customHeight="1" x14ac:dyDescent="0.2">
      <c r="A2" s="88" t="s">
        <v>118</v>
      </c>
      <c r="B2" s="88"/>
      <c r="C2" s="88"/>
      <c r="D2" s="88"/>
      <c r="E2" s="88"/>
      <c r="F2" s="88"/>
      <c r="G2" s="88"/>
      <c r="H2" s="88"/>
    </row>
    <row r="3" spans="1:8" ht="32.1" customHeight="1" thickBot="1" x14ac:dyDescent="0.25">
      <c r="A3" s="88" t="s">
        <v>119</v>
      </c>
      <c r="B3" s="88"/>
      <c r="C3" s="88"/>
      <c r="D3" s="88"/>
      <c r="E3" s="88"/>
      <c r="F3" s="88"/>
      <c r="G3" s="88"/>
      <c r="H3" s="88"/>
    </row>
    <row r="4" spans="1:8" ht="45.95" customHeight="1" thickBot="1" x14ac:dyDescent="0.25">
      <c r="A4" s="77" t="s">
        <v>120</v>
      </c>
      <c r="B4" s="78"/>
      <c r="C4" s="78"/>
      <c r="D4" s="78"/>
      <c r="E4" s="78"/>
      <c r="F4" s="58"/>
      <c r="G4" s="79"/>
      <c r="H4" s="80"/>
    </row>
    <row r="5" spans="1:8" ht="15.95" customHeight="1" thickBot="1" x14ac:dyDescent="0.25">
      <c r="A5" s="91" t="s">
        <v>102</v>
      </c>
      <c r="B5" s="92"/>
      <c r="C5" s="92"/>
      <c r="D5" s="92"/>
      <c r="E5" s="92"/>
      <c r="F5" s="55"/>
      <c r="G5" s="93" t="s">
        <v>100</v>
      </c>
      <c r="H5" s="94"/>
    </row>
    <row r="6" spans="1:8" ht="6" customHeight="1" thickBot="1" x14ac:dyDescent="0.35">
      <c r="A6" s="56"/>
      <c r="E6" s="57"/>
      <c r="G6" s="57"/>
    </row>
    <row r="7" spans="1:8" ht="45.95" customHeight="1" thickBot="1" x14ac:dyDescent="0.25">
      <c r="A7" s="77" t="s">
        <v>121</v>
      </c>
      <c r="B7" s="78"/>
      <c r="C7" s="78"/>
      <c r="D7" s="78"/>
      <c r="E7" s="78"/>
      <c r="F7" s="58"/>
      <c r="G7" s="79"/>
      <c r="H7" s="80"/>
    </row>
    <row r="8" spans="1:8" ht="15.95" customHeight="1" thickBot="1" x14ac:dyDescent="0.25">
      <c r="A8" s="91" t="s">
        <v>102</v>
      </c>
      <c r="B8" s="92"/>
      <c r="C8" s="92"/>
      <c r="D8" s="92"/>
      <c r="E8" s="92"/>
      <c r="F8" s="55"/>
      <c r="G8" s="93" t="s">
        <v>101</v>
      </c>
      <c r="H8" s="94"/>
    </row>
    <row r="9" spans="1:8" ht="6" customHeight="1" x14ac:dyDescent="0.3">
      <c r="A9" s="56"/>
      <c r="E9" s="57"/>
      <c r="G9" s="57"/>
    </row>
    <row r="10" spans="1:8" x14ac:dyDescent="0.2">
      <c r="A10" s="71"/>
      <c r="B10" s="71"/>
      <c r="C10" s="40"/>
      <c r="D10" s="40"/>
      <c r="E10" s="72"/>
      <c r="F10" s="40"/>
      <c r="G10" s="72"/>
      <c r="H10" s="40"/>
    </row>
    <row r="11" spans="1:8" x14ac:dyDescent="0.2">
      <c r="A11" s="71"/>
      <c r="B11" s="83" t="s">
        <v>112</v>
      </c>
      <c r="C11" s="83"/>
      <c r="D11" s="83"/>
      <c r="E11" s="83"/>
      <c r="F11" s="83"/>
      <c r="G11" s="83"/>
      <c r="H11" s="40"/>
    </row>
    <row r="12" spans="1:8" x14ac:dyDescent="0.2">
      <c r="A12" s="71"/>
      <c r="B12" s="73"/>
      <c r="C12" s="40"/>
      <c r="D12" s="40"/>
      <c r="E12" s="72"/>
      <c r="F12" s="40"/>
      <c r="G12" s="72"/>
      <c r="H12" s="40"/>
    </row>
    <row r="13" spans="1:8" ht="15.75" customHeight="1" x14ac:dyDescent="0.2">
      <c r="A13" s="85"/>
      <c r="B13" s="85"/>
      <c r="C13" s="89" t="s">
        <v>116</v>
      </c>
      <c r="D13" s="38"/>
      <c r="E13" s="86" t="s">
        <v>89</v>
      </c>
      <c r="F13" s="38"/>
      <c r="G13" s="86" t="s">
        <v>90</v>
      </c>
      <c r="H13" s="38"/>
    </row>
    <row r="14" spans="1:8" ht="24.95" customHeight="1" x14ac:dyDescent="0.2">
      <c r="A14" s="38"/>
      <c r="B14" s="38"/>
      <c r="C14" s="90"/>
      <c r="D14" s="38"/>
      <c r="E14" s="87"/>
      <c r="F14" s="38"/>
      <c r="G14" s="87"/>
      <c r="H14" s="38"/>
    </row>
    <row r="15" spans="1:8" ht="13.5" thickBot="1" x14ac:dyDescent="0.25">
      <c r="A15" s="7" t="s">
        <v>113</v>
      </c>
      <c r="C15" s="29"/>
      <c r="D15" s="38"/>
      <c r="E15" s="52">
        <f>C15*$G$4</f>
        <v>0</v>
      </c>
      <c r="F15" s="38"/>
      <c r="G15" s="53">
        <f>C15*$G$7</f>
        <v>0</v>
      </c>
      <c r="H15" s="38"/>
    </row>
    <row r="16" spans="1:8" x14ac:dyDescent="0.2">
      <c r="A16" s="38"/>
      <c r="B16" s="38"/>
      <c r="C16" s="38"/>
      <c r="D16" s="38"/>
      <c r="E16" s="54"/>
      <c r="F16" s="38"/>
      <c r="G16" s="28"/>
      <c r="H16" s="38"/>
    </row>
    <row r="17" spans="1:8" x14ac:dyDescent="0.2">
      <c r="A17" s="7" t="s">
        <v>47</v>
      </c>
      <c r="C17" s="35"/>
      <c r="D17" s="38"/>
      <c r="E17" s="54"/>
      <c r="F17" s="38"/>
      <c r="G17" s="28"/>
      <c r="H17" s="38"/>
    </row>
    <row r="18" spans="1:8" ht="13.5" thickBot="1" x14ac:dyDescent="0.25">
      <c r="B18" s="6" t="s">
        <v>39</v>
      </c>
      <c r="C18" s="29"/>
      <c r="D18" s="38"/>
      <c r="E18" s="52">
        <f>C18*$G$4</f>
        <v>0</v>
      </c>
      <c r="F18" s="38"/>
      <c r="G18" s="53">
        <f>C18*$G$7</f>
        <v>0</v>
      </c>
      <c r="H18" s="38"/>
    </row>
    <row r="19" spans="1:8" ht="13.5" thickBot="1" x14ac:dyDescent="0.25">
      <c r="B19" s="6" t="s">
        <v>40</v>
      </c>
      <c r="C19" s="30"/>
      <c r="D19" s="38"/>
      <c r="E19" s="52">
        <f>C19*$G$4</f>
        <v>0</v>
      </c>
      <c r="F19" s="38"/>
      <c r="G19" s="53">
        <f>C19*$G$7</f>
        <v>0</v>
      </c>
      <c r="H19" s="38"/>
    </row>
    <row r="20" spans="1:8" x14ac:dyDescent="0.2">
      <c r="A20" s="38"/>
      <c r="B20" s="38"/>
      <c r="C20" s="38"/>
      <c r="D20" s="38"/>
      <c r="E20" s="74">
        <f>IF(E19+E18=0,0,E19+E18)</f>
        <v>0</v>
      </c>
      <c r="F20" s="38"/>
      <c r="G20" s="74">
        <f>IF(G19+G18=0,0,G19+G18)</f>
        <v>0</v>
      </c>
      <c r="H20" s="38"/>
    </row>
    <row r="21" spans="1:8" ht="13.5" thickBot="1" x14ac:dyDescent="0.25">
      <c r="A21" s="7" t="s">
        <v>48</v>
      </c>
      <c r="C21" s="29"/>
      <c r="D21" s="38"/>
      <c r="E21" s="52">
        <f>C21*$G$4</f>
        <v>0</v>
      </c>
      <c r="F21" s="38"/>
      <c r="G21" s="53">
        <f>C21*$G$7</f>
        <v>0</v>
      </c>
      <c r="H21" s="38"/>
    </row>
    <row r="22" spans="1:8" x14ac:dyDescent="0.2">
      <c r="A22" s="48"/>
      <c r="B22" s="38"/>
      <c r="C22" s="49"/>
      <c r="D22" s="38"/>
      <c r="E22" s="44"/>
      <c r="F22" s="38"/>
      <c r="G22" s="50"/>
      <c r="H22" s="38"/>
    </row>
    <row r="23" spans="1:8" x14ac:dyDescent="0.2">
      <c r="A23" s="40"/>
      <c r="B23" s="83" t="s">
        <v>114</v>
      </c>
      <c r="C23" s="83"/>
      <c r="D23" s="83"/>
      <c r="E23" s="83"/>
      <c r="F23" s="83"/>
      <c r="G23" s="83"/>
      <c r="H23" s="40"/>
    </row>
    <row r="24" spans="1:8" x14ac:dyDescent="0.2">
      <c r="A24" s="38"/>
      <c r="B24" s="38"/>
      <c r="C24" s="84"/>
      <c r="D24" s="84"/>
      <c r="E24" s="51"/>
      <c r="F24" s="35"/>
      <c r="G24" s="51"/>
      <c r="H24" s="35"/>
    </row>
    <row r="25" spans="1:8" ht="13.5" thickBot="1" x14ac:dyDescent="0.25">
      <c r="A25" s="45" t="s">
        <v>95</v>
      </c>
      <c r="C25" s="35"/>
      <c r="D25" s="38"/>
      <c r="E25" s="31"/>
      <c r="F25" s="38"/>
      <c r="G25" s="32"/>
      <c r="H25" s="38"/>
    </row>
    <row r="26" spans="1:8" x14ac:dyDescent="0.2">
      <c r="A26" s="40"/>
      <c r="B26" s="40"/>
      <c r="C26" s="35"/>
      <c r="D26" s="38"/>
      <c r="E26" s="46"/>
      <c r="F26" s="40"/>
      <c r="G26" s="47"/>
      <c r="H26" s="38"/>
    </row>
    <row r="27" spans="1:8" ht="13.5" thickBot="1" x14ac:dyDescent="0.25">
      <c r="A27" s="45" t="s">
        <v>96</v>
      </c>
      <c r="C27" s="35"/>
      <c r="D27" s="38"/>
      <c r="E27" s="31"/>
      <c r="F27" s="38"/>
      <c r="G27" s="52">
        <f>E27</f>
        <v>0</v>
      </c>
      <c r="H27" s="38"/>
    </row>
    <row r="28" spans="1:8" x14ac:dyDescent="0.2">
      <c r="A28" s="43"/>
      <c r="B28" s="38"/>
      <c r="C28" s="35"/>
      <c r="D28" s="38"/>
      <c r="E28" s="44"/>
      <c r="F28" s="38"/>
      <c r="G28" s="28"/>
      <c r="H28" s="38"/>
    </row>
    <row r="29" spans="1:8" x14ac:dyDescent="0.2">
      <c r="A29" s="45" t="s">
        <v>97</v>
      </c>
      <c r="C29" s="35"/>
      <c r="D29" s="38"/>
      <c r="E29" s="35"/>
      <c r="F29" s="38"/>
      <c r="G29" s="28"/>
      <c r="H29" s="38"/>
    </row>
    <row r="30" spans="1:8" ht="13.5" thickBot="1" x14ac:dyDescent="0.25">
      <c r="A30" s="81" t="s">
        <v>109</v>
      </c>
      <c r="B30" s="82"/>
      <c r="C30" s="33"/>
      <c r="D30" s="38"/>
      <c r="E30" s="40"/>
      <c r="F30" s="38"/>
      <c r="G30" s="28"/>
      <c r="H30" s="38"/>
    </row>
    <row r="31" spans="1:8" x14ac:dyDescent="0.2">
      <c r="A31" s="41"/>
      <c r="B31" s="41"/>
      <c r="C31" s="42"/>
      <c r="D31" s="40"/>
      <c r="E31" s="40"/>
      <c r="F31" s="38"/>
      <c r="G31" s="28"/>
      <c r="H31" s="38"/>
    </row>
    <row r="32" spans="1:8" ht="39" customHeight="1" thickBot="1" x14ac:dyDescent="0.25">
      <c r="A32" s="81" t="s">
        <v>111</v>
      </c>
      <c r="B32" s="81"/>
      <c r="C32" s="31"/>
      <c r="D32" s="38"/>
      <c r="E32" s="40"/>
      <c r="F32" s="38"/>
      <c r="G32" s="28"/>
      <c r="H32" s="38"/>
    </row>
    <row r="33" spans="1:8" x14ac:dyDescent="0.2">
      <c r="A33" s="38"/>
      <c r="B33" s="38"/>
      <c r="C33" s="35"/>
      <c r="D33" s="38"/>
      <c r="E33" s="35"/>
      <c r="F33" s="38"/>
      <c r="G33" s="28"/>
      <c r="H33" s="38"/>
    </row>
    <row r="34" spans="1:8" x14ac:dyDescent="0.2">
      <c r="A34" s="39" t="s">
        <v>99</v>
      </c>
      <c r="E34" s="38"/>
      <c r="F34" s="35"/>
      <c r="G34" s="35"/>
      <c r="H34" s="35"/>
    </row>
    <row r="35" spans="1:8" ht="13.5" thickBot="1" x14ac:dyDescent="0.25">
      <c r="A35" s="75" t="s">
        <v>47</v>
      </c>
      <c r="B35" s="75"/>
      <c r="C35" s="34"/>
      <c r="D35" s="35"/>
      <c r="E35" s="35"/>
      <c r="F35" s="35"/>
      <c r="G35" s="35"/>
      <c r="H35" s="35"/>
    </row>
    <row r="36" spans="1:8" ht="13.5" thickBot="1" x14ac:dyDescent="0.25">
      <c r="A36" s="75" t="s">
        <v>48</v>
      </c>
      <c r="B36" s="75"/>
      <c r="C36" s="34"/>
      <c r="D36" s="35"/>
      <c r="E36" s="35"/>
      <c r="F36" s="35"/>
      <c r="G36" s="35"/>
      <c r="H36" s="35"/>
    </row>
    <row r="37" spans="1:8" x14ac:dyDescent="0.2">
      <c r="A37" s="35"/>
      <c r="B37" s="35"/>
      <c r="C37" s="35"/>
      <c r="D37" s="35"/>
      <c r="E37" s="35"/>
      <c r="F37" s="35"/>
      <c r="G37" s="35"/>
      <c r="H37" s="35"/>
    </row>
    <row r="38" spans="1:8" x14ac:dyDescent="0.2">
      <c r="A38" s="35"/>
      <c r="B38" s="35"/>
      <c r="C38" s="68" t="s">
        <v>110</v>
      </c>
      <c r="D38" s="35"/>
      <c r="E38" s="70">
        <f>E15+E18+E19+E21+E25+E27+((C30*C32)/16)</f>
        <v>0</v>
      </c>
      <c r="F38" s="35"/>
      <c r="G38" s="70">
        <f>G15+G18+G19+G21+G25+G27+((C30*C32)/16)</f>
        <v>0</v>
      </c>
      <c r="H38" s="35"/>
    </row>
    <row r="39" spans="1:8" x14ac:dyDescent="0.2">
      <c r="A39" s="35"/>
      <c r="B39" s="35"/>
      <c r="C39" s="35"/>
      <c r="D39" s="35"/>
      <c r="E39" s="35"/>
      <c r="F39" s="35"/>
      <c r="G39" s="35"/>
      <c r="H39" s="35"/>
    </row>
    <row r="40" spans="1:8" x14ac:dyDescent="0.2"/>
    <row r="41" spans="1:8" x14ac:dyDescent="0.2">
      <c r="A41" s="36" t="s">
        <v>87</v>
      </c>
      <c r="B41" s="6" t="s">
        <v>91</v>
      </c>
    </row>
    <row r="42" spans="1:8" x14ac:dyDescent="0.2">
      <c r="B42" s="37" t="s">
        <v>94</v>
      </c>
    </row>
    <row r="43" spans="1:8" x14ac:dyDescent="0.2">
      <c r="B43" s="37" t="s">
        <v>98</v>
      </c>
    </row>
    <row r="44" spans="1:8" x14ac:dyDescent="0.2">
      <c r="B44" s="6"/>
    </row>
    <row r="45" spans="1:8" x14ac:dyDescent="0.2">
      <c r="A45" s="36" t="s">
        <v>88</v>
      </c>
      <c r="B45" s="6" t="s">
        <v>92</v>
      </c>
    </row>
    <row r="46" spans="1:8" x14ac:dyDescent="0.2">
      <c r="B46" s="37" t="s">
        <v>93</v>
      </c>
    </row>
    <row r="47" spans="1:8" x14ac:dyDescent="0.2"/>
    <row r="48" spans="1:8" x14ac:dyDescent="0.2"/>
  </sheetData>
  <sheetProtection algorithmName="SHA-512" hashValue="z6xtDnuTV7u4EudYbIVc9rw0XikYrcjkqh1UMG7pOwIVHxW2mL05c3CCqchlJVpPQZr6c7Sp4hCdAfo4HKFEMQ==" saltValue="SdYDDhKT7DHlCk3yeD1xhQ==" spinCount="100000" sheet="1" selectLockedCells="1"/>
  <mergeCells count="22">
    <mergeCell ref="C13:C14"/>
    <mergeCell ref="A5:E5"/>
    <mergeCell ref="G5:H5"/>
    <mergeCell ref="A8:E8"/>
    <mergeCell ref="G8:H8"/>
    <mergeCell ref="B11:G11"/>
    <mergeCell ref="A35:B35"/>
    <mergeCell ref="A36:B36"/>
    <mergeCell ref="A1:H1"/>
    <mergeCell ref="A7:E7"/>
    <mergeCell ref="G4:H4"/>
    <mergeCell ref="G7:H7"/>
    <mergeCell ref="A30:B30"/>
    <mergeCell ref="A32:B32"/>
    <mergeCell ref="A4:E4"/>
    <mergeCell ref="B23:G23"/>
    <mergeCell ref="C24:D24"/>
    <mergeCell ref="A13:B13"/>
    <mergeCell ref="E13:E14"/>
    <mergeCell ref="G13:G14"/>
    <mergeCell ref="A2:H2"/>
    <mergeCell ref="A3:H3"/>
  </mergeCells>
  <phoneticPr fontId="0" type="noConversion"/>
  <conditionalFormatting sqref="F24 H24">
    <cfRule type="expression" dxfId="2" priority="1" stopIfTrue="1">
      <formula>E21=0</formula>
    </cfRule>
    <cfRule type="expression" dxfId="1" priority="2" stopIfTrue="1">
      <formula>E24="Grade 7 thru"</formula>
    </cfRule>
    <cfRule type="expression" dxfId="0" priority="3" stopIfTrue="1">
      <formula>E21&gt;99.99</formula>
    </cfRule>
  </conditionalFormatting>
  <pageMargins left="0.75" right="0.75" top="0.5" bottom="0.25" header="0.5" footer="0.25"/>
  <pageSetup orientation="portrait" r:id="rId1"/>
  <headerFooter alignWithMargins="0">
    <oddFooter>&amp;L&amp;F</oddFooter>
  </headerFooter>
  <ignoredErrors>
    <ignoredError sqref="E20 G20" formula="1"/>
    <ignoredError sqref="G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B136-AD8F-4F84-8EB2-D704C417F3DB}">
  <dimension ref="A1:P5"/>
  <sheetViews>
    <sheetView tabSelected="1" zoomScaleNormal="100" workbookViewId="0">
      <selection sqref="A1:J1"/>
    </sheetView>
  </sheetViews>
  <sheetFormatPr defaultColWidth="0" defaultRowHeight="12.75" zeroHeight="1" x14ac:dyDescent="0.2"/>
  <cols>
    <col min="1" max="16" width="9.140625" style="59" customWidth="1"/>
    <col min="17" max="16384" width="9.140625" style="59" hidden="1"/>
  </cols>
  <sheetData>
    <row r="1" spans="1:10" ht="20.25" x14ac:dyDescent="0.3">
      <c r="A1" s="95" t="s">
        <v>103</v>
      </c>
      <c r="B1" s="95"/>
      <c r="C1" s="95"/>
      <c r="D1" s="95"/>
      <c r="E1" s="95"/>
      <c r="F1" s="95"/>
      <c r="G1" s="95"/>
      <c r="H1" s="95"/>
      <c r="I1" s="95"/>
      <c r="J1" s="95"/>
    </row>
    <row r="2" spans="1:10" ht="32.1" customHeight="1" x14ac:dyDescent="0.2">
      <c r="A2" s="96" t="s">
        <v>104</v>
      </c>
      <c r="B2" s="96"/>
      <c r="C2" s="96"/>
      <c r="D2" s="96"/>
      <c r="E2" s="96"/>
      <c r="F2" s="96"/>
      <c r="G2" s="96"/>
      <c r="H2" s="96"/>
      <c r="I2" s="96"/>
      <c r="J2" s="96"/>
    </row>
    <row r="3" spans="1:10" ht="316.5" customHeight="1" x14ac:dyDescent="0.2">
      <c r="A3" s="96" t="s">
        <v>117</v>
      </c>
      <c r="B3" s="97"/>
      <c r="C3" s="97"/>
      <c r="D3" s="97"/>
      <c r="E3" s="97"/>
      <c r="F3" s="97"/>
      <c r="G3" s="97"/>
      <c r="H3" s="97"/>
      <c r="I3" s="97"/>
      <c r="J3" s="97"/>
    </row>
    <row r="4" spans="1:10" x14ac:dyDescent="0.2"/>
    <row r="5" spans="1:10" x14ac:dyDescent="0.2"/>
  </sheetData>
  <sheetProtection algorithmName="SHA-512" hashValue="c205P2N79fcpIzjhXcSzc40FNW4bhMpTV+7B/oib4rxYY581huACoUh+Uzfzu36t6DiYdyhvqfoxp4GhbmsZHQ==" saltValue="NeaKMn8Rt2hFMgDLo3zXsQ==" spinCount="100000" sheet="1" objects="1" scenarios="1"/>
  <mergeCells count="3">
    <mergeCell ref="A1:J1"/>
    <mergeCell ref="A2:J2"/>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4"/>
  <sheetViews>
    <sheetView showGridLines="0" zoomScale="90" zoomScaleNormal="100" workbookViewId="0">
      <selection sqref="A1:O1"/>
    </sheetView>
  </sheetViews>
  <sheetFormatPr defaultColWidth="0"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8" width="4.7109375" style="27" customWidth="1"/>
    <col min="19" max="19" width="4.140625" customWidth="1"/>
    <col min="20" max="20" width="2.5703125" customWidth="1"/>
    <col min="21" max="24" width="9.140625" customWidth="1"/>
    <col min="25" max="25" width="4.5703125" customWidth="1"/>
    <col min="26" max="26" width="10.140625" customWidth="1"/>
    <col min="27" max="27" width="3.140625" customWidth="1"/>
    <col min="28" max="28" width="9.140625" customWidth="1"/>
    <col min="29" max="29" width="6.28515625" customWidth="1"/>
    <col min="30" max="30" width="3.85546875" customWidth="1"/>
    <col min="31" max="31" width="10.7109375" customWidth="1"/>
    <col min="32" max="32" width="8.140625" customWidth="1"/>
    <col min="33" max="33" width="12.28515625" customWidth="1"/>
    <col min="34" max="34" width="11.5703125" customWidth="1"/>
    <col min="35" max="35" width="4.7109375" style="63" customWidth="1"/>
    <col min="36" max="42" width="0" hidden="1" customWidth="1"/>
    <col min="43" max="16384" width="9.140625" hidden="1"/>
  </cols>
  <sheetData>
    <row r="1" spans="1:42" ht="17.100000000000001" customHeight="1" x14ac:dyDescent="0.2">
      <c r="A1" s="100" t="s">
        <v>65</v>
      </c>
      <c r="B1" s="100"/>
      <c r="C1" s="100"/>
      <c r="D1" s="100"/>
      <c r="E1" s="100"/>
      <c r="F1" s="100"/>
      <c r="G1" s="100"/>
      <c r="H1" s="100"/>
      <c r="I1" s="100"/>
      <c r="J1" s="100"/>
      <c r="K1" s="100"/>
      <c r="L1" s="100"/>
      <c r="M1" s="100"/>
      <c r="N1" s="100"/>
      <c r="O1" s="100"/>
      <c r="P1" s="60"/>
      <c r="Q1" s="64"/>
      <c r="S1" s="100" t="s">
        <v>65</v>
      </c>
      <c r="T1" s="100"/>
      <c r="U1" s="100"/>
      <c r="V1" s="100"/>
      <c r="W1" s="100"/>
      <c r="X1" s="100"/>
      <c r="Y1" s="100"/>
      <c r="Z1" s="100"/>
      <c r="AA1" s="100"/>
      <c r="AB1" s="100"/>
      <c r="AC1" s="100"/>
      <c r="AD1" s="100"/>
      <c r="AE1" s="100"/>
      <c r="AF1" s="100"/>
      <c r="AG1" s="100"/>
      <c r="AH1" s="60"/>
    </row>
    <row r="2" spans="1:42" ht="17.100000000000001" customHeight="1" x14ac:dyDescent="0.2">
      <c r="A2" s="100" t="s">
        <v>106</v>
      </c>
      <c r="B2" s="100"/>
      <c r="C2" s="100"/>
      <c r="D2" s="100"/>
      <c r="E2" s="100"/>
      <c r="F2" s="100"/>
      <c r="G2" s="100"/>
      <c r="H2" s="100"/>
      <c r="I2" s="100"/>
      <c r="J2" s="100"/>
      <c r="K2" s="100"/>
      <c r="L2" s="100"/>
      <c r="M2" s="100"/>
      <c r="N2" s="100"/>
      <c r="O2" s="100"/>
      <c r="Q2" s="64"/>
      <c r="S2" s="100" t="s">
        <v>86</v>
      </c>
      <c r="T2" s="100"/>
      <c r="U2" s="100"/>
      <c r="V2" s="100"/>
      <c r="W2" s="100"/>
      <c r="X2" s="100"/>
      <c r="Y2" s="100"/>
      <c r="Z2" s="100"/>
      <c r="AA2" s="100"/>
      <c r="AB2" s="100"/>
      <c r="AC2" s="100"/>
      <c r="AD2" s="100"/>
      <c r="AE2" s="100"/>
      <c r="AF2" s="100"/>
      <c r="AG2" s="100"/>
      <c r="AH2" s="60"/>
    </row>
    <row r="3" spans="1:42" ht="17.100000000000001" customHeight="1" x14ac:dyDescent="0.25">
      <c r="A3" s="100" t="s">
        <v>108</v>
      </c>
      <c r="B3" s="100"/>
      <c r="C3" s="100"/>
      <c r="D3" s="100"/>
      <c r="E3" s="100"/>
      <c r="F3" s="100"/>
      <c r="G3" s="100"/>
      <c r="H3" s="100"/>
      <c r="I3" s="100"/>
      <c r="J3" s="100"/>
      <c r="K3" s="100"/>
      <c r="L3" s="100"/>
      <c r="M3" s="100"/>
      <c r="N3" s="100"/>
      <c r="O3" s="100"/>
      <c r="Q3" s="64"/>
      <c r="S3" s="102" t="s">
        <v>107</v>
      </c>
      <c r="T3" s="102"/>
      <c r="U3" s="102"/>
      <c r="V3" s="102"/>
      <c r="W3" s="102"/>
      <c r="X3" s="102"/>
      <c r="Y3" s="102"/>
      <c r="Z3" s="102"/>
      <c r="AA3" s="102"/>
      <c r="AB3" s="102"/>
      <c r="AC3" s="102"/>
      <c r="AD3" s="102"/>
      <c r="AE3" s="102"/>
      <c r="AF3" s="102"/>
      <c r="AG3" s="102"/>
    </row>
    <row r="4" spans="1:42" ht="7.5" customHeight="1" x14ac:dyDescent="0.2">
      <c r="Q4" s="64"/>
    </row>
    <row r="5" spans="1:42" ht="31.5" customHeight="1" x14ac:dyDescent="0.2">
      <c r="A5" s="10" t="s">
        <v>38</v>
      </c>
      <c r="F5" s="25" t="s">
        <v>66</v>
      </c>
      <c r="H5" s="26" t="s">
        <v>70</v>
      </c>
      <c r="I5" s="12"/>
      <c r="J5" s="86" t="s">
        <v>71</v>
      </c>
      <c r="K5" s="87"/>
      <c r="M5" s="14" t="s">
        <v>67</v>
      </c>
      <c r="O5" s="24" t="s">
        <v>68</v>
      </c>
      <c r="Q5" s="64"/>
      <c r="S5" s="10" t="s">
        <v>38</v>
      </c>
      <c r="X5" s="25" t="s">
        <v>66</v>
      </c>
      <c r="Z5" s="26" t="s">
        <v>70</v>
      </c>
      <c r="AA5" s="12"/>
      <c r="AB5" s="86" t="s">
        <v>71</v>
      </c>
      <c r="AC5" s="87"/>
      <c r="AE5" s="14" t="s">
        <v>67</v>
      </c>
      <c r="AG5" s="24" t="s">
        <v>68</v>
      </c>
    </row>
    <row r="6" spans="1:42" ht="6.75" customHeight="1" x14ac:dyDescent="0.2">
      <c r="Q6" s="67"/>
      <c r="S6" s="3"/>
      <c r="AH6" s="6" t="str">
        <f>IF('Enrollment Input'!V15=0," ",IF(AG7=0,"ADD to 1-6",IF(AG7=AI6," ","Minimum")))</f>
        <v xml:space="preserve"> </v>
      </c>
    </row>
    <row r="7" spans="1:42" ht="15.75" x14ac:dyDescent="0.25">
      <c r="B7" s="7" t="s">
        <v>113</v>
      </c>
      <c r="F7" s="62" t="str">
        <f>IF('Enrollment Input'!$E$15=0,"0",'Enrollment Input'!$E$15)</f>
        <v>0</v>
      </c>
      <c r="G7" s="22"/>
      <c r="H7" s="21"/>
      <c r="I7" s="21"/>
      <c r="J7" s="99" t="str">
        <f>IF('Enrollment Input'!$E$15=0,"0",'Enrollment Input'!$E$15)</f>
        <v>0</v>
      </c>
      <c r="K7" s="99"/>
      <c r="L7" s="13" t="s">
        <v>42</v>
      </c>
      <c r="M7" s="9">
        <f>IF('Enrollment Input'!E15=0,0,LOOKUP(J7,criteria!$A$3:$A$10,criteria!$B$3:$B$10))</f>
        <v>0</v>
      </c>
      <c r="N7" s="11" t="s">
        <v>14</v>
      </c>
      <c r="O7" s="62">
        <f>IF(Q7=0,0,IF(Q7&lt;LOOKUP(J7,criteria!$A$3:$A$10,criteria!$C$3:$C$10),LOOKUP(J7,criteria!$A$3:$A$10,criteria!$C$3:$C$10),IF(LOOKUP(J7,criteria!$A$3:$A$10,criteria!$C$3:$C$10)=0,0,Q7)))</f>
        <v>0</v>
      </c>
      <c r="P7" s="6" t="str">
        <f>IF('Enrollment Input'!E15=0," ",IF(O7=0,"ADD to 1-6",IF(O7=Q7," ","Minimum")))</f>
        <v xml:space="preserve"> </v>
      </c>
      <c r="Q7" s="67">
        <f>ROUND(IF('Enrollment Input'!E15=0,0,IF(M7=0,0,(J7/M7))),2)</f>
        <v>0</v>
      </c>
      <c r="S7" s="3"/>
      <c r="T7" s="7" t="s">
        <v>113</v>
      </c>
      <c r="X7" s="62" t="str">
        <f>IF('Enrollment Input'!$E$15=0,"0",'Enrollment Input'!$E$15)</f>
        <v>0</v>
      </c>
      <c r="Y7" s="21"/>
      <c r="Z7" s="21"/>
      <c r="AA7" s="21"/>
      <c r="AB7" s="99" t="str">
        <f>IF('Enrollment Input'!E15=0,"0",'Enrollment Input'!E15)</f>
        <v>0</v>
      </c>
      <c r="AC7" s="99"/>
      <c r="AD7" s="13" t="s">
        <v>42</v>
      </c>
      <c r="AE7" s="9">
        <f>IF('Enrollment Input'!E15=0,0,LOOKUP(AB7,criteria!$A$3:$A$10,criteria!$B$3:$B$10))</f>
        <v>0</v>
      </c>
      <c r="AF7" s="22" t="s">
        <v>14</v>
      </c>
      <c r="AG7" s="62">
        <f>IF(AI7=0,0,IF(AI7&lt;LOOKUP(AB7,criteria!$A$3:$A$10,criteria!$C$3:$C$10),LOOKUP(AB7,criteria!$A$3:$A$10,criteria!$C$3:$C$10),IF(LOOKUP(AB7,criteria!$A$3:$A$10,criteria!$C$3:$C$10)=0,0,AI7)))</f>
        <v>0</v>
      </c>
      <c r="AH7" s="6" t="str">
        <f>IF('Enrollment Input'!E15=0," ",IF(AG7=0,"ADD to 1-6",IF(AG7=AI7," ","Minimum")))</f>
        <v xml:space="preserve"> </v>
      </c>
      <c r="AI7" s="63">
        <f>ROUND(IF('Enrollment Input'!E15=0,0,IF(AE7=0,0,(AB7/AE7))),2)</f>
        <v>0</v>
      </c>
      <c r="AJ7" s="66"/>
      <c r="AK7" s="66"/>
      <c r="AL7" s="66"/>
      <c r="AM7" s="66"/>
      <c r="AN7" s="66"/>
      <c r="AO7" s="66"/>
      <c r="AP7" s="66"/>
    </row>
    <row r="8" spans="1:42" ht="6.75" customHeight="1" x14ac:dyDescent="0.2">
      <c r="F8" s="21"/>
      <c r="G8" s="21"/>
      <c r="H8" s="21"/>
      <c r="I8" s="21"/>
      <c r="J8" s="21"/>
      <c r="K8" s="21"/>
      <c r="O8" s="21"/>
      <c r="Q8" s="67"/>
      <c r="S8" s="3"/>
      <c r="X8" s="21"/>
      <c r="Y8" s="21"/>
      <c r="Z8" s="21"/>
      <c r="AA8" s="21"/>
      <c r="AB8" s="21"/>
      <c r="AC8" s="21"/>
      <c r="AF8" s="21"/>
      <c r="AG8" s="21"/>
      <c r="AJ8" s="66"/>
      <c r="AK8" s="66"/>
      <c r="AL8" s="66"/>
      <c r="AM8" s="66"/>
      <c r="AN8" s="66"/>
      <c r="AO8" s="66"/>
      <c r="AP8" s="66"/>
    </row>
    <row r="9" spans="1:42" x14ac:dyDescent="0.2">
      <c r="B9" s="7" t="s">
        <v>47</v>
      </c>
      <c r="F9" s="21"/>
      <c r="G9" s="21"/>
      <c r="H9" s="21"/>
      <c r="I9" s="21"/>
      <c r="J9" s="21"/>
      <c r="K9" s="21"/>
      <c r="O9" s="21"/>
      <c r="Q9" s="67"/>
      <c r="S9" s="3"/>
      <c r="T9" s="7" t="s">
        <v>47</v>
      </c>
      <c r="X9" s="21"/>
      <c r="Y9" s="21"/>
      <c r="Z9" s="21"/>
      <c r="AA9" s="21"/>
      <c r="AB9" s="21"/>
      <c r="AC9" s="21"/>
      <c r="AF9" s="21"/>
      <c r="AG9" s="21"/>
      <c r="AJ9" s="66"/>
      <c r="AK9" s="66"/>
      <c r="AL9" s="66"/>
      <c r="AM9" s="66"/>
      <c r="AN9" s="66"/>
      <c r="AO9" s="66"/>
      <c r="AP9" s="66"/>
    </row>
    <row r="10" spans="1:42" x14ac:dyDescent="0.2">
      <c r="B10" s="6" t="s">
        <v>69</v>
      </c>
      <c r="F10" s="21"/>
      <c r="G10" s="21"/>
      <c r="H10" s="21"/>
      <c r="I10" s="21"/>
      <c r="J10" s="21"/>
      <c r="K10" s="21"/>
      <c r="O10" s="21"/>
      <c r="Q10" s="67"/>
      <c r="S10" s="3"/>
      <c r="T10" s="6" t="s">
        <v>69</v>
      </c>
      <c r="X10" s="21"/>
      <c r="Y10" s="21"/>
      <c r="Z10" s="21"/>
      <c r="AA10" s="21"/>
      <c r="AB10" s="21"/>
      <c r="AC10" s="21"/>
      <c r="AF10" s="21"/>
      <c r="AG10" s="21"/>
      <c r="AJ10" s="66"/>
      <c r="AK10" s="66"/>
      <c r="AL10" s="66"/>
      <c r="AM10" s="66"/>
      <c r="AN10" s="66"/>
      <c r="AO10" s="66"/>
      <c r="AP10" s="66"/>
    </row>
    <row r="11" spans="1:42" ht="16.5" customHeight="1" x14ac:dyDescent="0.25">
      <c r="C11" s="8" t="s">
        <v>39</v>
      </c>
      <c r="F11" s="62" t="str">
        <f>IF(J11=0," ",IF($J$16&gt;300," ",'Enrollment Input'!E18))</f>
        <v xml:space="preserve"> </v>
      </c>
      <c r="G11" s="65" t="s">
        <v>75</v>
      </c>
      <c r="H11" s="62" t="str">
        <f>IF(J11=0," ",'Exceptional Child Calc'!H25)</f>
        <v xml:space="preserve"> </v>
      </c>
      <c r="I11" s="22" t="s">
        <v>14</v>
      </c>
      <c r="J11" s="99">
        <f>IF('Enrollment Input'!E18=0,0,IF(SUM('Enrollment Input'!E18-'Exceptional Child Calc'!H25)+SUM('Enrollment Input'!E19-'Exceptional Child Calc'!H26)&gt;299.99,SUM('Enrollment Input'!E18-'Exceptional Child Calc'!H25),0))</f>
        <v>0</v>
      </c>
      <c r="K11" s="99"/>
      <c r="L11" s="13" t="s">
        <v>42</v>
      </c>
      <c r="M11" s="9">
        <f>IF(SUM('Enrollment Input'!$E$18-'Exceptional Child Calc'!$H$25)+SUM('Enrollment Input'!$E$19-'Exceptional Child Calc'!$H$26)&gt;299.99,20,0)</f>
        <v>0</v>
      </c>
      <c r="N11" s="11" t="s">
        <v>14</v>
      </c>
      <c r="O11" s="62">
        <f>ROUND(IF(SUM('Enrollment Input'!$E$18-'Exceptional Child Calc'!$H$25)+SUM('Enrollment Input'!$E$19-'Exceptional Child Calc'!$H$26)&lt;300,0,IF(Q11+Q13&lt;15,0,(J11/M11))),2)</f>
        <v>0</v>
      </c>
      <c r="P11" t="str">
        <f>IF(O11=0," ",IF(O11=Q11," ","Minimum"))</f>
        <v xml:space="preserve"> </v>
      </c>
      <c r="Q11" s="67">
        <f>ROUND(IF(SUM('Enrollment Input'!$E$18-'Exceptional Child Calc'!$H$25)+SUM('Enrollment Input'!$E$19-'Exceptional Child Calc'!$H$26)&lt;300,0,(J11/M11)),2)</f>
        <v>0</v>
      </c>
      <c r="S11" s="3"/>
      <c r="T11" s="8"/>
      <c r="U11" s="8" t="s">
        <v>39</v>
      </c>
      <c r="X11" s="62" t="str">
        <f>IF(AB11=0," ",IF($AB$16&gt;300," ",'Enrollment Input'!E18))</f>
        <v xml:space="preserve"> </v>
      </c>
      <c r="Y11" s="65" t="s">
        <v>75</v>
      </c>
      <c r="Z11" s="62" t="str">
        <f>IF(AB11=0," ",'Exceptional Child Calc'!H25)</f>
        <v xml:space="preserve"> </v>
      </c>
      <c r="AA11" s="22" t="s">
        <v>14</v>
      </c>
      <c r="AB11" s="99">
        <f>IF('Enrollment Input'!E18=0,0,IF(SUM('Enrollment Input'!E18-'Exceptional Child Calc'!H25)+SUM('Enrollment Input'!E19-'Exceptional Child Calc'!H26)&gt;299.99,SUM('Enrollment Input'!E18-'Exceptional Child Calc'!H25),0))</f>
        <v>0</v>
      </c>
      <c r="AC11" s="99"/>
      <c r="AD11" s="13" t="s">
        <v>42</v>
      </c>
      <c r="AE11" s="9">
        <f>IF(SUM('Enrollment Input'!$E$18-'Exceptional Child Calc'!$H$25)+SUM('Enrollment Input'!$E$19-'Exceptional Child Calc'!$H$26)&gt;299.99,20,0)</f>
        <v>0</v>
      </c>
      <c r="AF11" s="22" t="s">
        <v>14</v>
      </c>
      <c r="AG11" s="62">
        <f>ROUND(IF(SUM('Enrollment Input'!$E$18-'Exceptional Child Calc'!$H$25)+SUM('Enrollment Input'!$E$19-'Exceptional Child Calc'!$H$26)&lt;300,0,IF(AI11+AI13&lt;15,0,(AB11/AE11))),2)</f>
        <v>0</v>
      </c>
      <c r="AH11" t="str">
        <f>IF(AG11=0," ",IF(AG11=AI11," ","Minimum"))</f>
        <v xml:space="preserve"> </v>
      </c>
      <c r="AI11" s="63">
        <f>ROUND(IF(SUM('Enrollment Input'!$E$18-'Exceptional Child Calc'!$H$25)+SUM('Enrollment Input'!$E$19-'Exceptional Child Calc'!$H$26)&lt;300,0,(AB11/AE11)),2)</f>
        <v>0</v>
      </c>
      <c r="AJ11" s="66"/>
      <c r="AK11" s="66"/>
      <c r="AL11" s="66"/>
      <c r="AM11" s="66"/>
      <c r="AN11" s="66"/>
      <c r="AO11" s="66"/>
      <c r="AP11" s="66"/>
    </row>
    <row r="12" spans="1:42" ht="9" customHeight="1" x14ac:dyDescent="0.2">
      <c r="B12" s="8"/>
      <c r="F12" s="21"/>
      <c r="G12" s="21"/>
      <c r="H12" s="21"/>
      <c r="I12" s="21"/>
      <c r="J12" s="21"/>
      <c r="K12" s="21"/>
      <c r="O12" s="21"/>
      <c r="Q12" s="67"/>
      <c r="S12" s="3"/>
      <c r="X12" s="21"/>
      <c r="Y12" s="21"/>
      <c r="Z12" s="21"/>
      <c r="AA12" s="21"/>
      <c r="AB12" s="21"/>
      <c r="AC12" s="21"/>
      <c r="AF12" s="21"/>
      <c r="AG12" s="21"/>
      <c r="AJ12" s="66"/>
      <c r="AK12" s="66"/>
      <c r="AL12" s="66"/>
      <c r="AM12" s="66"/>
      <c r="AN12" s="66"/>
      <c r="AO12" s="66"/>
      <c r="AP12" s="66"/>
    </row>
    <row r="13" spans="1:42" ht="15.75" x14ac:dyDescent="0.25">
      <c r="C13" s="8" t="s">
        <v>40</v>
      </c>
      <c r="F13" s="62" t="str">
        <f>IF(J13=0," ",IF($J$16&gt;300," ",'Enrollment Input'!E19))</f>
        <v xml:space="preserve"> </v>
      </c>
      <c r="G13" s="65" t="s">
        <v>75</v>
      </c>
      <c r="H13" s="62" t="str">
        <f>IF(J13=0," ",'Exceptional Child Calc'!H26)</f>
        <v xml:space="preserve"> </v>
      </c>
      <c r="I13" s="22" t="s">
        <v>14</v>
      </c>
      <c r="J13" s="99">
        <f>IF('Enrollment Input'!E19=0,0,IF(SUM('Enrollment Input'!E18-'Exceptional Child Calc'!H25)+SUM('Enrollment Input'!E19-'Exceptional Child Calc'!H26)&gt;299.99,SUM('Enrollment Input'!E19-'Exceptional Child Calc'!H26),0))</f>
        <v>0</v>
      </c>
      <c r="K13" s="99"/>
      <c r="L13" s="13" t="s">
        <v>42</v>
      </c>
      <c r="M13" s="9">
        <f>IF(SUM('Enrollment Input'!$E$18-'Exceptional Child Calc'!$H$25)+SUM('Enrollment Input'!$E$19-'Exceptional Child Calc'!$H$26)&gt;299.99,23,0)</f>
        <v>0</v>
      </c>
      <c r="N13" s="11" t="s">
        <v>14</v>
      </c>
      <c r="O13" s="62">
        <f>ROUND(IF(SUM('Enrollment Input'!$E$18-'Exceptional Child Calc'!$H$25)+SUM('Enrollment Input'!$E$19-'Exceptional Child Calc'!$H$26)&lt;300,0,IF(Q11+Q13&lt;15,0,($J$13/$M$13))),2)</f>
        <v>0</v>
      </c>
      <c r="P13" t="str">
        <f>IF(O13=0," ",IF(O13=Q13," ","Minimum"))</f>
        <v xml:space="preserve"> </v>
      </c>
      <c r="Q13" s="67">
        <f>ROUND(IF(SUM('Enrollment Input'!$E$18-'Exceptional Child Calc'!$H$25)+SUM('Enrollment Input'!$E$19-'Exceptional Child Calc'!$H$26)&lt;300,0,($J$13/$M$13)),2)</f>
        <v>0</v>
      </c>
      <c r="S13" s="3"/>
      <c r="U13" s="8" t="s">
        <v>40</v>
      </c>
      <c r="X13" s="62" t="str">
        <f>IF(AB13=0," ",IF($AB$16&gt;300," ",'Enrollment Input'!E19))</f>
        <v xml:space="preserve"> </v>
      </c>
      <c r="Y13" s="65" t="s">
        <v>75</v>
      </c>
      <c r="Z13" s="62" t="str">
        <f>IF(AB13=0," ",'Exceptional Child Calc'!H26)</f>
        <v xml:space="preserve"> </v>
      </c>
      <c r="AA13" s="22" t="s">
        <v>14</v>
      </c>
      <c r="AB13" s="99">
        <f>IF('Enrollment Input'!E19=0,0,IF(SUM('Enrollment Input'!E18-'Exceptional Child Calc'!H25)+SUM('Enrollment Input'!E19-'Exceptional Child Calc'!H26)&gt;299.99,SUM('Enrollment Input'!E19-'Exceptional Child Calc'!H26),0))</f>
        <v>0</v>
      </c>
      <c r="AC13" s="99"/>
      <c r="AD13" s="13" t="s">
        <v>42</v>
      </c>
      <c r="AE13" s="9">
        <f>IF(SUM('Enrollment Input'!$E$18-'Exceptional Child Calc'!$H$25)+SUM('Enrollment Input'!$E$19-'Exceptional Child Calc'!$H$26)&gt;299.99,23,0)</f>
        <v>0</v>
      </c>
      <c r="AF13" s="22" t="s">
        <v>14</v>
      </c>
      <c r="AG13" s="62">
        <f>ROUND(IF(SUM('Enrollment Input'!$E$18-'Exceptional Child Calc'!$H$25)+SUM('Enrollment Input'!$E$19-'Exceptional Child Calc'!$H$26)&lt;300,0,IF(AI11+AI13&lt;15,0,($AB$13/$AE$13))),2)</f>
        <v>0</v>
      </c>
      <c r="AH13" t="str">
        <f>IF(AG13=0," ",IF(AG13=AI13," ","Minimum"))</f>
        <v xml:space="preserve"> </v>
      </c>
      <c r="AI13" s="63">
        <f>ROUND(IF(SUM('Enrollment Input'!$E$18-'Exceptional Child Calc'!$H$25)+SUM('Enrollment Input'!$E$19-'Exceptional Child Calc'!$H$26)&lt;300,0,(AB13/AE13)),2)</f>
        <v>0</v>
      </c>
      <c r="AJ13" s="66"/>
      <c r="AK13" s="66"/>
      <c r="AL13" s="66"/>
      <c r="AM13" s="66"/>
      <c r="AN13" s="66"/>
      <c r="AO13" s="66"/>
      <c r="AP13" s="66"/>
    </row>
    <row r="14" spans="1:42" ht="17.25" customHeight="1" x14ac:dyDescent="0.2">
      <c r="B14" s="7" t="s">
        <v>47</v>
      </c>
      <c r="F14" s="22"/>
      <c r="G14" s="65"/>
      <c r="H14" s="22"/>
      <c r="I14" s="22"/>
      <c r="J14" s="22"/>
      <c r="K14" s="22"/>
      <c r="M14" s="12"/>
      <c r="N14" s="11"/>
      <c r="O14" s="22" t="str">
        <f>IF(P14="Minimum",15," ")</f>
        <v xml:space="preserve"> </v>
      </c>
      <c r="P14" t="str">
        <f>IF(Q11+Q13=0," ",IF(Q11+Q13&lt;15,"Minimum"," "))</f>
        <v xml:space="preserve"> </v>
      </c>
      <c r="Q14" s="67"/>
      <c r="S14" s="3"/>
      <c r="T14" s="7" t="s">
        <v>47</v>
      </c>
      <c r="X14" s="21"/>
      <c r="Y14" s="21"/>
      <c r="Z14" s="21"/>
      <c r="AA14" s="21"/>
      <c r="AB14" s="21"/>
      <c r="AC14" s="21"/>
      <c r="AF14" s="21"/>
      <c r="AG14" s="22" t="str">
        <f>IF(AH14="Minimum",15," ")</f>
        <v xml:space="preserve"> </v>
      </c>
      <c r="AH14" t="str">
        <f>IF(AI11+AI13=0," ",IF(AI11+AI13&lt;15,"Minimum"," "))</f>
        <v xml:space="preserve"> </v>
      </c>
      <c r="AJ14" s="66"/>
      <c r="AK14" s="66"/>
      <c r="AL14" s="66"/>
      <c r="AM14" s="66"/>
      <c r="AN14" s="66"/>
      <c r="AO14" s="66"/>
      <c r="AP14" s="66"/>
    </row>
    <row r="15" spans="1:42" x14ac:dyDescent="0.2">
      <c r="B15" s="6" t="s">
        <v>78</v>
      </c>
      <c r="F15" s="21"/>
      <c r="G15" s="21"/>
      <c r="H15" s="21"/>
      <c r="I15" s="21"/>
      <c r="J15" s="21"/>
      <c r="K15" s="21"/>
      <c r="Q15" s="67"/>
      <c r="S15" s="3"/>
      <c r="T15" s="6" t="s">
        <v>78</v>
      </c>
      <c r="X15" s="21"/>
      <c r="Y15" s="21"/>
      <c r="Z15" s="21"/>
      <c r="AA15" s="21"/>
      <c r="AB15" s="21"/>
      <c r="AC15" s="21"/>
      <c r="AF15" s="21"/>
      <c r="AG15" s="21"/>
      <c r="AJ15" s="66"/>
      <c r="AK15" s="66"/>
      <c r="AL15" s="66"/>
      <c r="AM15" s="66"/>
      <c r="AN15" s="66"/>
      <c r="AO15" s="66"/>
      <c r="AP15" s="66"/>
    </row>
    <row r="16" spans="1:42" ht="15.75" x14ac:dyDescent="0.25">
      <c r="C16" s="8" t="s">
        <v>41</v>
      </c>
      <c r="F16" s="62" t="str">
        <f>IF(J16=0," ",IF(J16&lt;300,SUM('Enrollment Input'!E18+'Enrollment Input'!E19)," "))</f>
        <v xml:space="preserve"> </v>
      </c>
      <c r="G16" s="65" t="s">
        <v>75</v>
      </c>
      <c r="H16" s="62" t="str">
        <f>IF(J16=0," ",'Exceptional Child Calc'!H22)</f>
        <v xml:space="preserve"> </v>
      </c>
      <c r="I16" s="22" t="s">
        <v>14</v>
      </c>
      <c r="J16" s="99">
        <f>IF('Enrollment Input'!E20=0,0,IF(SUM('Enrollment Input'!E18-'Exceptional Child Calc'!H25)+SUM('Enrollment Input'!E19-'Exceptional Child Calc'!H26)&lt;300,IF(P7="ADD to 1-6",SUM('Enrollment Input'!E18-'Exceptional Child Calc'!H25)+SUM('Enrollment Input'!E19-'Exceptional Child Calc'!H26)+'Enrollment Input'!E15,SUM('Enrollment Input'!E18-'Exceptional Child Calc'!H25)+SUM('Enrollment Input'!E19-'Exceptional Child Calc'!H26)),0))</f>
        <v>0</v>
      </c>
      <c r="K16" s="99"/>
      <c r="L16" s="13" t="s">
        <v>42</v>
      </c>
      <c r="M16" s="9">
        <f>IF(J16=0,0,LOOKUP(J16,criteria!$M$3:$M$11,criteria!$N$3:$N$11))</f>
        <v>0</v>
      </c>
      <c r="N16" s="11" t="s">
        <v>14</v>
      </c>
      <c r="O16" s="62">
        <f>IF(Q16=0,0,IF(Q16&lt;LOOKUP(J16,criteria!$M$3:$M$10,criteria!$O$3:$O$10),LOOKUP(J16,criteria!$M$3:$M$10,criteria!$O$3:$O$10),Q16))</f>
        <v>0</v>
      </c>
      <c r="P16" t="str">
        <f>IF(O16=0," ",IF(O16=Q16," ","Minimum"))</f>
        <v xml:space="preserve"> </v>
      </c>
      <c r="Q16" s="67">
        <f>ROUND(IF('Enrollment Input'!E20=0,0,IF(SUM('Enrollment Input'!$E$18-'Exceptional Child Calc'!$H$25)+SUM('Enrollment Input'!$E$19-'Exceptional Child Calc'!$H$26)&gt;299.99,0,(J16/M16))),2)</f>
        <v>0</v>
      </c>
      <c r="S16" s="3"/>
      <c r="U16" s="8" t="s">
        <v>41</v>
      </c>
      <c r="X16" s="62" t="str">
        <f>IF(AB16=0," ",IF(AB16&lt;300,SUM('Enrollment Input'!E18+'Enrollment Input'!E19)," "))</f>
        <v xml:space="preserve"> </v>
      </c>
      <c r="Y16" s="65" t="s">
        <v>75</v>
      </c>
      <c r="Z16" s="62" t="str">
        <f>IF(AB16=0," ",'Exceptional Child Calc'!H22)</f>
        <v xml:space="preserve"> </v>
      </c>
      <c r="AA16" s="22" t="s">
        <v>14</v>
      </c>
      <c r="AB16" s="99">
        <f>IF('Enrollment Input'!E20=0,0,IF(SUM('Enrollment Input'!E18-'Exceptional Child Calc'!H25)+SUM('Enrollment Input'!E19-'Exceptional Child Calc'!H26)&lt;300,IF(AH7="ADD to 1-6",SUM('Enrollment Input'!E18-'Exceptional Child Calc'!H25)+SUM('Enrollment Input'!E19-'Exceptional Child Calc'!H26)+'Enrollment Input'!E15,SUM('Enrollment Input'!E18-'Exceptional Child Calc'!H25)+SUM('Enrollment Input'!E19-'Exceptional Child Calc'!H26)),0))</f>
        <v>0</v>
      </c>
      <c r="AC16" s="99"/>
      <c r="AD16" s="13" t="s">
        <v>42</v>
      </c>
      <c r="AE16" s="9">
        <f>IF(AB16=0,0,LOOKUP(AB16,criteria!$M$3:$M$11,criteria!$N$3:$N$11))</f>
        <v>0</v>
      </c>
      <c r="AF16" s="22" t="s">
        <v>14</v>
      </c>
      <c r="AG16" s="62">
        <f>IF(AI16=0,0,IF(AI16&lt;LOOKUP(AB16,criteria!$M$3:$M$10,criteria!$O$3:$O$10),LOOKUP(AB16,criteria!$M$3:$M$10,criteria!$O$3:$O$10),AI16))</f>
        <v>0</v>
      </c>
      <c r="AH16" t="str">
        <f>IF(AG16=0," ",IF(AG16=AI16," ","Minimum"))</f>
        <v xml:space="preserve"> </v>
      </c>
      <c r="AI16" s="63">
        <f>ROUND(IF('Enrollment Input'!E20=0,0,IF(SUM('Enrollment Input'!$E$18-'Exceptional Child Calc'!$H$25)+SUM('Enrollment Input'!$E$19-'Exceptional Child Calc'!$H$26)&gt;299.99,0,(AB16/AE16))),2)</f>
        <v>0</v>
      </c>
      <c r="AJ16" s="66"/>
      <c r="AK16" s="66"/>
      <c r="AL16" s="66"/>
      <c r="AM16" s="66"/>
      <c r="AN16" s="66"/>
      <c r="AO16" s="66"/>
      <c r="AP16" s="66"/>
    </row>
    <row r="17" spans="1:42" ht="6" customHeight="1" x14ac:dyDescent="0.2">
      <c r="F17" s="21"/>
      <c r="G17" s="21"/>
      <c r="H17" s="21"/>
      <c r="I17" s="21"/>
      <c r="J17" s="21"/>
      <c r="K17" s="21"/>
      <c r="O17" s="21"/>
      <c r="Q17" s="67"/>
      <c r="S17" s="3"/>
      <c r="X17" s="21"/>
      <c r="Y17" s="21"/>
      <c r="Z17" s="21"/>
      <c r="AA17" s="21"/>
      <c r="AB17" s="21"/>
      <c r="AC17" s="21"/>
      <c r="AF17" s="21"/>
      <c r="AG17" s="21"/>
      <c r="AJ17" s="66"/>
      <c r="AK17" s="66"/>
      <c r="AL17" s="66"/>
      <c r="AM17" s="66"/>
      <c r="AN17" s="66"/>
      <c r="AO17" s="66"/>
      <c r="AP17" s="66"/>
    </row>
    <row r="18" spans="1:42" ht="15.75" x14ac:dyDescent="0.25">
      <c r="B18" s="7" t="s">
        <v>48</v>
      </c>
      <c r="F18" s="62" t="str">
        <f>IF(J18=0," ",'Enrollment Input'!E21)</f>
        <v xml:space="preserve"> </v>
      </c>
      <c r="G18" s="65" t="s">
        <v>75</v>
      </c>
      <c r="H18" s="62" t="str">
        <f>IF('Exceptional Child Calc'!$H$43=0," ",'Exceptional Child Calc'!$H$43)</f>
        <v xml:space="preserve"> </v>
      </c>
      <c r="I18" s="22" t="s">
        <v>14</v>
      </c>
      <c r="J18" s="99">
        <f>IF('Enrollment Input'!E21=0,0,SUM('Enrollment Input'!E21-'Exceptional Child Calc'!H43))</f>
        <v>0</v>
      </c>
      <c r="K18" s="99"/>
      <c r="L18" s="13" t="s">
        <v>42</v>
      </c>
      <c r="M18" s="9">
        <f>IF('Enrollment Input'!E21=0,0,IF(J18&gt;99.99,LOOKUP(J18,criteria!Q3:Q10,criteria!R3:R10),12))</f>
        <v>0</v>
      </c>
      <c r="N18" s="11" t="s">
        <v>14</v>
      </c>
      <c r="O18" s="62">
        <f>ROUND(IF(J18=0,0,IF(J18&lt;99.99,IF(M18=0,8,(J18/M18)),IF(Q18&lt;LOOKUP(J18,criteria!$Q$3:$Q$10,criteria!$S$3:$S$10),LOOKUP(J18,criteria!$Q$3:$Q$10,criteria!$S$3:$S$10),Q18))),2)</f>
        <v>0</v>
      </c>
      <c r="P18" t="str">
        <f>IF(O18=0," ",IF(O18=Q18," ","Minimum"))</f>
        <v xml:space="preserve"> </v>
      </c>
      <c r="Q18" s="67">
        <f>ROUND(IF(M18=0,0,(J18/M18)),2)</f>
        <v>0</v>
      </c>
      <c r="S18" s="3"/>
      <c r="T18" s="7" t="s">
        <v>48</v>
      </c>
      <c r="X18" s="62">
        <f>IF(AB18=0,0,'Enrollment Input'!E21)</f>
        <v>0</v>
      </c>
      <c r="Y18" s="65" t="s">
        <v>75</v>
      </c>
      <c r="Z18" s="62"/>
      <c r="AA18" s="22" t="s">
        <v>14</v>
      </c>
      <c r="AB18" s="99">
        <f>IF('Enrollment Input'!$E$21=0,0,'Enrollment Input'!$E$21)</f>
        <v>0</v>
      </c>
      <c r="AC18" s="99"/>
      <c r="AD18" s="13" t="s">
        <v>42</v>
      </c>
      <c r="AE18" s="9">
        <f>IF('Enrollment Input'!E21=0,0,IF(AB18&gt;99.99,LOOKUP(AB18,criteria!Q3:Q10,criteria!R3:R10),12))</f>
        <v>0</v>
      </c>
      <c r="AF18" s="22" t="s">
        <v>14</v>
      </c>
      <c r="AG18" s="62">
        <f>ROUND(IF(AB18=0,0,IF(AB18&lt;99.99,IF(AE18=0,8,(AB18/AE18)),IF(AI18&lt;LOOKUP(AB18,criteria!$Q$3:$Q$10,criteria!$S$3:$S$10),LOOKUP(AB18,criteria!$Q$3:$Q$10,criteria!$S$3:$S$10),AI18))),2)</f>
        <v>0</v>
      </c>
      <c r="AH18" t="str">
        <f>IF(AG18=0," ",IF(AG18=AI18," ","Minimum"))</f>
        <v xml:space="preserve"> </v>
      </c>
      <c r="AI18" s="63">
        <f>ROUND(IF(AE18=0,0,(AB18/AE18)),2)</f>
        <v>0</v>
      </c>
      <c r="AJ18" s="66"/>
      <c r="AK18" s="66"/>
      <c r="AL18" s="66"/>
      <c r="AM18" s="66"/>
      <c r="AN18" s="66"/>
      <c r="AO18" s="66"/>
      <c r="AP18" s="66"/>
    </row>
    <row r="19" spans="1:42" ht="9" customHeight="1" x14ac:dyDescent="0.2">
      <c r="B19" s="7"/>
      <c r="F19" s="22"/>
      <c r="G19" s="65"/>
      <c r="H19" s="22"/>
      <c r="I19" s="22"/>
      <c r="J19" s="22"/>
      <c r="K19" s="22"/>
      <c r="M19" s="12"/>
      <c r="N19" s="11"/>
      <c r="O19" s="22"/>
      <c r="Q19" s="67"/>
      <c r="S19" s="3"/>
      <c r="T19" s="7"/>
      <c r="X19" s="21"/>
      <c r="Y19" s="21"/>
      <c r="Z19" s="21"/>
      <c r="AA19" s="21"/>
      <c r="AB19" s="22"/>
      <c r="AC19" s="22"/>
      <c r="AE19" s="12"/>
      <c r="AF19" s="22"/>
      <c r="AG19" s="22"/>
      <c r="AJ19" s="66"/>
      <c r="AK19" s="66"/>
      <c r="AL19" s="66"/>
      <c r="AM19" s="66"/>
      <c r="AN19" s="66"/>
      <c r="AO19" s="66"/>
      <c r="AP19" s="66"/>
    </row>
    <row r="20" spans="1:42" ht="15" x14ac:dyDescent="0.2">
      <c r="A20" s="5" t="s">
        <v>59</v>
      </c>
      <c r="F20" s="21"/>
      <c r="G20" s="21"/>
      <c r="H20" s="21"/>
      <c r="I20" s="21"/>
      <c r="J20" s="21"/>
      <c r="K20" s="21"/>
      <c r="O20" s="21"/>
      <c r="Q20" s="67"/>
      <c r="S20" s="5" t="s">
        <v>59</v>
      </c>
      <c r="X20" s="21"/>
      <c r="Y20" s="21"/>
      <c r="Z20" s="21"/>
      <c r="AA20" s="21"/>
      <c r="AB20" s="21"/>
      <c r="AC20" s="21"/>
      <c r="AF20" s="21"/>
      <c r="AG20" s="21"/>
      <c r="AJ20" s="66"/>
      <c r="AK20" s="66"/>
      <c r="AL20" s="66"/>
      <c r="AM20" s="66"/>
      <c r="AN20" s="66"/>
      <c r="AO20" s="66"/>
      <c r="AP20" s="66"/>
    </row>
    <row r="21" spans="1:42" ht="3.75" customHeight="1" x14ac:dyDescent="0.2">
      <c r="F21" s="21"/>
      <c r="G21" s="21"/>
      <c r="H21" s="21"/>
      <c r="I21" s="21"/>
      <c r="J21" s="21"/>
      <c r="K21" s="21"/>
      <c r="O21" s="21"/>
      <c r="Q21" s="67"/>
      <c r="S21" s="3"/>
      <c r="X21" s="21"/>
      <c r="Y21" s="21"/>
      <c r="Z21" s="21"/>
      <c r="AA21" s="21"/>
      <c r="AB21" s="21"/>
      <c r="AC21" s="21"/>
      <c r="AF21" s="21"/>
      <c r="AG21" s="21"/>
      <c r="AJ21" s="66"/>
      <c r="AK21" s="66"/>
      <c r="AL21" s="66"/>
      <c r="AM21" s="66"/>
      <c r="AN21" s="66"/>
      <c r="AO21" s="66"/>
      <c r="AP21" s="66"/>
    </row>
    <row r="22" spans="1:42" x14ac:dyDescent="0.2">
      <c r="B22" t="s">
        <v>72</v>
      </c>
      <c r="F22" s="21"/>
      <c r="G22" s="21"/>
      <c r="H22" s="21"/>
      <c r="I22" s="21"/>
      <c r="J22" s="99" t="str">
        <f>IF('Exceptional Child Calc'!H55=0," ",'Exceptional Child Calc'!H55)</f>
        <v xml:space="preserve"> </v>
      </c>
      <c r="K22" s="99"/>
      <c r="O22" s="21"/>
      <c r="Q22" s="67"/>
      <c r="S22" s="3"/>
      <c r="T22" t="s">
        <v>72</v>
      </c>
      <c r="X22" s="21"/>
      <c r="Y22" s="21"/>
      <c r="Z22" s="21"/>
      <c r="AA22" s="21"/>
      <c r="AB22" s="99" t="str">
        <f>IF('Exceptional Child Calc'!H55=0," ",'Exceptional Child Calc'!H55)</f>
        <v xml:space="preserve"> </v>
      </c>
      <c r="AC22" s="99"/>
      <c r="AF22" s="21"/>
      <c r="AG22" s="21"/>
      <c r="AJ22" s="66"/>
      <c r="AK22" s="66"/>
      <c r="AL22" s="66"/>
      <c r="AM22" s="66"/>
      <c r="AN22" s="66"/>
      <c r="AO22" s="66"/>
      <c r="AP22" s="66"/>
    </row>
    <row r="23" spans="1:42" ht="9" customHeight="1" x14ac:dyDescent="0.2">
      <c r="F23" s="21"/>
      <c r="G23" s="21"/>
      <c r="H23" s="21"/>
      <c r="I23" s="21"/>
      <c r="J23" s="21"/>
      <c r="K23" s="21"/>
      <c r="O23" s="21"/>
      <c r="Q23" s="67"/>
      <c r="S23" s="3"/>
      <c r="X23" s="21"/>
      <c r="Y23" s="21"/>
      <c r="Z23" s="21"/>
      <c r="AA23" s="21"/>
      <c r="AB23" s="21"/>
      <c r="AC23" s="21"/>
      <c r="AF23" s="21"/>
      <c r="AG23" s="21"/>
      <c r="AJ23" s="66"/>
      <c r="AK23" s="66"/>
      <c r="AL23" s="66"/>
      <c r="AM23" s="66"/>
      <c r="AN23" s="66"/>
      <c r="AO23" s="66"/>
      <c r="AP23" s="66"/>
    </row>
    <row r="24" spans="1:42" x14ac:dyDescent="0.2">
      <c r="B24" t="s">
        <v>73</v>
      </c>
      <c r="F24" s="21"/>
      <c r="G24" s="21"/>
      <c r="H24" s="21"/>
      <c r="I24" s="21"/>
      <c r="J24" s="99" t="str">
        <f>IF('Exceptional Child Calc'!H22=0," ",'Exceptional Child Calc'!H22)</f>
        <v xml:space="preserve"> </v>
      </c>
      <c r="K24" s="99"/>
      <c r="O24" s="21"/>
      <c r="Q24" s="67"/>
      <c r="S24" s="3"/>
      <c r="T24" t="s">
        <v>73</v>
      </c>
      <c r="X24" s="21"/>
      <c r="Y24" s="21"/>
      <c r="Z24" s="21"/>
      <c r="AA24" s="21"/>
      <c r="AB24" s="99" t="str">
        <f>IF('Exceptional Child Calc'!H22=0," ",'Exceptional Child Calc'!H22)</f>
        <v xml:space="preserve"> </v>
      </c>
      <c r="AC24" s="99"/>
      <c r="AF24" s="21"/>
      <c r="AG24" s="21"/>
      <c r="AJ24" s="66"/>
      <c r="AK24" s="66"/>
      <c r="AL24" s="66"/>
      <c r="AM24" s="66"/>
      <c r="AN24" s="66"/>
      <c r="AO24" s="66"/>
      <c r="AP24" s="66"/>
    </row>
    <row r="25" spans="1:42" ht="9" customHeight="1" x14ac:dyDescent="0.2">
      <c r="F25" s="21"/>
      <c r="G25" s="21"/>
      <c r="H25" s="21"/>
      <c r="I25" s="21"/>
      <c r="J25" s="21"/>
      <c r="K25" s="21"/>
      <c r="O25" s="21"/>
      <c r="Q25" s="67"/>
      <c r="S25" s="3"/>
      <c r="X25" s="21"/>
      <c r="Y25" s="21"/>
      <c r="Z25" s="21"/>
      <c r="AA25" s="21"/>
      <c r="AB25" s="21"/>
      <c r="AC25" s="21"/>
      <c r="AF25" s="21"/>
      <c r="AG25" s="21"/>
      <c r="AJ25" s="66"/>
      <c r="AK25" s="66"/>
      <c r="AL25" s="66"/>
      <c r="AM25" s="66"/>
      <c r="AN25" s="66"/>
      <c r="AO25" s="66"/>
      <c r="AP25" s="66"/>
    </row>
    <row r="26" spans="1:42" x14ac:dyDescent="0.2">
      <c r="B26" t="s">
        <v>74</v>
      </c>
      <c r="F26" s="21"/>
      <c r="G26" s="21"/>
      <c r="H26" s="21"/>
      <c r="I26" s="21"/>
      <c r="J26" s="99" t="str">
        <f>IF('Exceptional Child Calc'!$H$43=0," ",'Exceptional Child Calc'!$H$43)</f>
        <v xml:space="preserve"> </v>
      </c>
      <c r="K26" s="99"/>
      <c r="O26" s="21"/>
      <c r="Q26" s="67"/>
      <c r="S26" s="3"/>
      <c r="T26" t="s">
        <v>74</v>
      </c>
      <c r="X26" s="21"/>
      <c r="Y26" s="21"/>
      <c r="Z26" s="21"/>
      <c r="AA26" s="21"/>
      <c r="AB26" s="99">
        <f>0</f>
        <v>0</v>
      </c>
      <c r="AC26" s="99"/>
      <c r="AF26" s="21"/>
      <c r="AG26" s="21"/>
      <c r="AJ26" s="66"/>
      <c r="AK26" s="66"/>
      <c r="AL26" s="66"/>
      <c r="AM26" s="66"/>
      <c r="AN26" s="66"/>
      <c r="AO26" s="66"/>
      <c r="AP26" s="66"/>
    </row>
    <row r="27" spans="1:42" ht="8.25" customHeight="1" x14ac:dyDescent="0.2">
      <c r="F27" s="21"/>
      <c r="G27" s="21"/>
      <c r="H27" s="21"/>
      <c r="I27" s="21"/>
      <c r="J27" s="21"/>
      <c r="K27" s="21"/>
      <c r="O27" s="21"/>
      <c r="Q27" s="67"/>
      <c r="S27" s="3"/>
      <c r="X27" s="21"/>
      <c r="Y27" s="21"/>
      <c r="Z27" s="21"/>
      <c r="AA27" s="21"/>
      <c r="AB27" s="21"/>
      <c r="AC27" s="21"/>
      <c r="AF27" s="21"/>
      <c r="AG27" s="21"/>
      <c r="AJ27" s="66"/>
      <c r="AK27" s="66"/>
      <c r="AL27" s="66"/>
      <c r="AM27" s="66"/>
      <c r="AN27" s="66"/>
      <c r="AO27" s="66"/>
      <c r="AP27" s="66"/>
    </row>
    <row r="28" spans="1:42" ht="6" customHeight="1" x14ac:dyDescent="0.2">
      <c r="F28" s="21"/>
      <c r="G28" s="21"/>
      <c r="H28" s="21"/>
      <c r="I28" s="21"/>
      <c r="J28" s="22"/>
      <c r="K28" s="22"/>
      <c r="O28" s="21"/>
      <c r="Q28" s="67"/>
      <c r="S28" s="3"/>
      <c r="X28" s="21"/>
      <c r="Y28" s="21"/>
      <c r="Z28" s="21"/>
      <c r="AA28" s="21"/>
      <c r="AB28" s="22"/>
      <c r="AC28" s="22"/>
      <c r="AF28" s="21"/>
      <c r="AG28" s="21"/>
      <c r="AJ28" s="66"/>
      <c r="AK28" s="66"/>
      <c r="AL28" s="66"/>
      <c r="AM28" s="66"/>
      <c r="AN28" s="66"/>
      <c r="AO28" s="66"/>
      <c r="AP28" s="66"/>
    </row>
    <row r="29" spans="1:42" ht="16.5" thickBot="1" x14ac:dyDescent="0.3">
      <c r="B29" s="1" t="s">
        <v>76</v>
      </c>
      <c r="F29" s="21"/>
      <c r="G29" s="21"/>
      <c r="H29" s="21"/>
      <c r="I29" s="21"/>
      <c r="J29" s="101">
        <f>SUM(J22:K27)</f>
        <v>0</v>
      </c>
      <c r="K29" s="101"/>
      <c r="L29" s="13" t="s">
        <v>42</v>
      </c>
      <c r="M29" s="9">
        <f>IF(SUM('Enrollment Input'!E15+'Enrollment Input'!E18+'Enrollment Input'!E19+'Enrollment Input'!E21)=0,0,IF(J29&gt;=14,LOOKUP(J29,criteria!$U$3:$U$10,criteria!$V$3:$V$10),0))</f>
        <v>0</v>
      </c>
      <c r="N29" s="11" t="s">
        <v>14</v>
      </c>
      <c r="O29" s="62">
        <f>IF(J29=0,0,IF(Q29&lt;LOOKUP(J29,criteria!$U$3:$U$10,criteria!$W$3:$W$10),LOOKUP(J29,criteria!$U$3:$U$10,criteria!$W$3:$W$10),Q29))</f>
        <v>0</v>
      </c>
      <c r="P29" t="str">
        <f>IF(O29=0," ",IF(O29=Q29," ","Minimum"))</f>
        <v xml:space="preserve"> </v>
      </c>
      <c r="Q29" s="67">
        <f>ROUND(IF(SUM('Enrollment Input'!E15+'Enrollment Input'!E18+'Enrollment Input'!E19+'Enrollment Input'!E21)=0,0,IF(M29=0,0,(J29/M29))),2)</f>
        <v>0</v>
      </c>
      <c r="S29" s="3"/>
      <c r="T29" s="1" t="s">
        <v>76</v>
      </c>
      <c r="X29" s="21"/>
      <c r="Y29" s="21"/>
      <c r="Z29" s="21"/>
      <c r="AA29" s="21"/>
      <c r="AB29" s="101">
        <f>SUM(AB22:AC27)</f>
        <v>0</v>
      </c>
      <c r="AC29" s="101"/>
      <c r="AD29" s="13" t="s">
        <v>42</v>
      </c>
      <c r="AE29" s="9">
        <f>IF(SUM('Enrollment Input'!E15+'Enrollment Input'!E18+'Enrollment Input'!E19+'Enrollment Input'!E21)=0,0,IF(AB29&gt;=14,LOOKUP(AB29,criteria!$U$3:$U$10,criteria!$V$3:$V$10),0))</f>
        <v>0</v>
      </c>
      <c r="AF29" s="22" t="s">
        <v>14</v>
      </c>
      <c r="AG29" s="62">
        <f>IF(AB29=0,0,IF(AI29&lt;LOOKUP(AB29,criteria!$U$3:$U$10,criteria!$W$3:$W$10),LOOKUP(AB29,criteria!$U$3:$U$10,criteria!$W$3:$W$10),AI29))</f>
        <v>0</v>
      </c>
      <c r="AH29" t="str">
        <f>IF(AG29=0," ",IF(AG29=AI29," ","Minimum"))</f>
        <v xml:space="preserve"> </v>
      </c>
      <c r="AI29" s="63">
        <f>ROUND(IF(SUM('Enrollment Input'!E15+'Enrollment Input'!E18+'Enrollment Input'!E19+'Enrollment Input'!E21)=0,0,IF(AE29=0,0,(AB29/AE29))),2)</f>
        <v>0</v>
      </c>
      <c r="AJ29" s="66"/>
      <c r="AK29" s="66"/>
      <c r="AL29" s="66"/>
      <c r="AM29" s="66"/>
      <c r="AN29" s="66"/>
      <c r="AO29" s="66"/>
      <c r="AP29" s="66"/>
    </row>
    <row r="30" spans="1:42" ht="21" customHeight="1" thickTop="1" x14ac:dyDescent="0.25">
      <c r="B30" s="23"/>
      <c r="C30" s="23"/>
      <c r="D30" s="23"/>
      <c r="E30" s="23"/>
      <c r="F30" s="23"/>
      <c r="G30" s="23"/>
      <c r="H30" s="23"/>
      <c r="J30" s="8"/>
      <c r="N30" s="11"/>
      <c r="O30" s="22"/>
      <c r="P30" s="1"/>
      <c r="Q30" s="67"/>
      <c r="S30" s="3"/>
      <c r="T30" s="1"/>
      <c r="AB30" s="22"/>
      <c r="AC30" s="22"/>
      <c r="AD30" s="13"/>
      <c r="AE30" s="12"/>
      <c r="AF30" s="22"/>
      <c r="AG30" s="22"/>
      <c r="AJ30" s="66"/>
      <c r="AK30" s="66"/>
      <c r="AL30" s="66"/>
      <c r="AM30" s="66"/>
      <c r="AN30" s="66"/>
      <c r="AO30" s="66"/>
      <c r="AP30" s="66"/>
    </row>
    <row r="31" spans="1:42" ht="19.5" customHeight="1" x14ac:dyDescent="0.25">
      <c r="A31" s="4" t="s">
        <v>85</v>
      </c>
      <c r="O31" s="21"/>
      <c r="Q31" s="67"/>
      <c r="S31" s="4" t="s">
        <v>85</v>
      </c>
      <c r="AF31" s="21"/>
      <c r="AG31" s="21"/>
      <c r="AJ31" s="66"/>
      <c r="AK31" s="66"/>
      <c r="AL31" s="66"/>
      <c r="AM31" s="66"/>
      <c r="AN31" s="66"/>
      <c r="AO31" s="66"/>
      <c r="AP31" s="66"/>
    </row>
    <row r="32" spans="1:42" ht="15.75" x14ac:dyDescent="0.25">
      <c r="B32" s="98" t="str">
        <f>IF('Enrollment Input'!E25=0," ","Alternative Secondary High School")</f>
        <v xml:space="preserve"> </v>
      </c>
      <c r="C32" s="98"/>
      <c r="D32" s="98"/>
      <c r="E32" s="98"/>
      <c r="F32" s="98"/>
      <c r="G32" s="98"/>
      <c r="J32" s="99">
        <f>'Enrollment Input'!E25</f>
        <v>0</v>
      </c>
      <c r="K32" s="99"/>
      <c r="L32" s="13" t="s">
        <v>42</v>
      </c>
      <c r="M32" s="9">
        <f>IF(J32=0,0,IF(Q32&lt;1,IF(M18&lt;12,12,M18),12))</f>
        <v>0</v>
      </c>
      <c r="N32" s="11" t="s">
        <v>14</v>
      </c>
      <c r="O32" s="62">
        <f>ROUND(IF(J32=0,0,J32/M32),2)</f>
        <v>0</v>
      </c>
      <c r="P32" s="5"/>
      <c r="Q32" s="67">
        <f>ROUND(IF(J32=0,0,J32/12),2)</f>
        <v>0</v>
      </c>
      <c r="R32" s="63"/>
      <c r="S32" s="3"/>
      <c r="T32" s="61" t="str">
        <f>IF('Enrollment Input'!E25=0," ","Alternative Secondary High School")</f>
        <v xml:space="preserve"> </v>
      </c>
      <c r="U32" s="61"/>
      <c r="V32" s="61"/>
      <c r="W32" s="61"/>
      <c r="X32" s="61"/>
      <c r="Y32" s="61"/>
      <c r="AB32" s="99">
        <f>'Enrollment Input'!E25</f>
        <v>0</v>
      </c>
      <c r="AC32" s="99"/>
      <c r="AD32" s="13" t="s">
        <v>42</v>
      </c>
      <c r="AE32" s="9">
        <f>IF(AB32=0,0,IF(AI32&lt;1,IF(AE18&lt;12,12,AE18),12))</f>
        <v>0</v>
      </c>
      <c r="AF32" s="22" t="s">
        <v>14</v>
      </c>
      <c r="AG32" s="62">
        <f>ROUND(IF(AB32=0,0,AB32/AE32),2)</f>
        <v>0</v>
      </c>
      <c r="AH32" s="5"/>
      <c r="AI32" s="63">
        <f>ROUND(IF(AB32=0,0,AB32/12),2)</f>
        <v>0</v>
      </c>
      <c r="AJ32" s="66"/>
      <c r="AK32" s="66"/>
      <c r="AL32" s="66"/>
      <c r="AM32" s="66"/>
      <c r="AN32" s="66"/>
      <c r="AO32" s="66"/>
      <c r="AP32" s="66"/>
    </row>
    <row r="33" spans="1:42" ht="11.25" customHeight="1" x14ac:dyDescent="0.2">
      <c r="J33" s="21"/>
      <c r="K33" s="21"/>
      <c r="O33" s="21"/>
      <c r="Q33" s="67"/>
      <c r="S33" s="3"/>
      <c r="AB33" s="21"/>
      <c r="AC33" s="21"/>
      <c r="AF33" s="21"/>
      <c r="AG33" s="21"/>
      <c r="AJ33" s="66"/>
      <c r="AK33" s="66"/>
      <c r="AL33" s="66"/>
      <c r="AM33" s="66"/>
      <c r="AN33" s="66"/>
      <c r="AO33" s="66"/>
      <c r="AP33" s="66"/>
    </row>
    <row r="34" spans="1:42" ht="11.25" customHeight="1" x14ac:dyDescent="0.25">
      <c r="B34" s="98" t="str">
        <f>IF('Enrollment Input'!E27=0," ","Summer Alternative Secondary High School")</f>
        <v xml:space="preserve"> </v>
      </c>
      <c r="C34" s="98"/>
      <c r="D34" s="98"/>
      <c r="E34" s="98"/>
      <c r="F34" s="98"/>
      <c r="G34" s="98"/>
      <c r="J34" s="99">
        <f>'Enrollment Input'!E27</f>
        <v>0</v>
      </c>
      <c r="K34" s="99"/>
      <c r="L34" s="13" t="s">
        <v>42</v>
      </c>
      <c r="M34" s="9">
        <f>IF(J34=0,0,40)</f>
        <v>0</v>
      </c>
      <c r="N34" s="11" t="s">
        <v>14</v>
      </c>
      <c r="O34" s="62">
        <f>ROUND(IF(J34=0,0,J34/M34),2)</f>
        <v>0</v>
      </c>
      <c r="P34" s="5"/>
      <c r="Q34" s="67"/>
      <c r="S34" s="3"/>
      <c r="T34" s="98" t="str">
        <f>IF('Enrollment Input'!E27=0," ","Summer Alternative Secondary High School")</f>
        <v xml:space="preserve"> </v>
      </c>
      <c r="U34" s="98"/>
      <c r="V34" s="98"/>
      <c r="W34" s="98"/>
      <c r="X34" s="98"/>
      <c r="Y34" s="98"/>
      <c r="AB34" s="99">
        <f>'Enrollment Input'!E27</f>
        <v>0</v>
      </c>
      <c r="AC34" s="99"/>
      <c r="AD34" s="13" t="s">
        <v>42</v>
      </c>
      <c r="AE34" s="9">
        <f>IF(AB34=0,0,40)</f>
        <v>0</v>
      </c>
      <c r="AF34" s="22" t="s">
        <v>14</v>
      </c>
      <c r="AG34" s="62">
        <f>ROUND(IF(AB34=0,0,AB34/AE34),2)</f>
        <v>0</v>
      </c>
      <c r="AH34" s="5"/>
      <c r="AJ34" s="66"/>
      <c r="AK34" s="66"/>
      <c r="AL34" s="66"/>
      <c r="AM34" s="66"/>
      <c r="AN34" s="66"/>
      <c r="AO34" s="66"/>
      <c r="AP34" s="66"/>
    </row>
    <row r="35" spans="1:42" ht="13.5" customHeight="1" x14ac:dyDescent="0.25">
      <c r="J35" s="12"/>
      <c r="K35" s="12"/>
      <c r="L35" s="13"/>
      <c r="M35" s="12"/>
      <c r="N35" s="11"/>
      <c r="O35" s="12"/>
      <c r="P35" s="1"/>
      <c r="Q35" s="67"/>
      <c r="S35" s="3"/>
      <c r="AB35" s="12"/>
      <c r="AC35" s="12"/>
      <c r="AD35" s="13"/>
      <c r="AE35" s="12"/>
      <c r="AF35" s="22"/>
      <c r="AG35" s="22"/>
      <c r="AH35" s="1"/>
      <c r="AJ35" s="66"/>
      <c r="AK35" s="66"/>
      <c r="AL35" s="66"/>
      <c r="AM35" s="66"/>
      <c r="AN35" s="66"/>
      <c r="AO35" s="66"/>
      <c r="AP35" s="66"/>
    </row>
    <row r="36" spans="1:42" ht="18.75" customHeight="1" thickBot="1" x14ac:dyDescent="0.25">
      <c r="A36" s="5"/>
      <c r="B36" s="8" t="s">
        <v>105</v>
      </c>
      <c r="C36" s="1"/>
      <c r="D36" s="1"/>
      <c r="E36" s="1"/>
      <c r="F36" s="1"/>
      <c r="G36" s="1"/>
      <c r="H36" s="1"/>
      <c r="I36" s="1"/>
      <c r="J36" s="1"/>
      <c r="K36" s="1"/>
      <c r="M36" s="12" t="s">
        <v>14</v>
      </c>
      <c r="N36" s="105">
        <f>ROUND(IF(SUM(O7:O34)=0,0,SUM(O7:O34)),2)</f>
        <v>0</v>
      </c>
      <c r="O36" s="105"/>
      <c r="Q36" s="67"/>
      <c r="S36" s="5"/>
      <c r="T36" s="8" t="s">
        <v>105</v>
      </c>
      <c r="U36" s="1"/>
      <c r="V36" s="1"/>
      <c r="W36" s="1"/>
      <c r="X36" s="1"/>
      <c r="Y36" s="1"/>
      <c r="Z36" s="1"/>
      <c r="AA36" s="1"/>
      <c r="AB36" s="1"/>
      <c r="AC36" s="1"/>
      <c r="AE36" s="12" t="s">
        <v>14</v>
      </c>
      <c r="AF36" s="105">
        <f>ROUND(IF(SUM(AG7:AG34)=0,0,SUM(AG7:AG34)),2)</f>
        <v>0</v>
      </c>
      <c r="AG36" s="105"/>
      <c r="AJ36" s="66"/>
      <c r="AK36" s="66"/>
      <c r="AL36" s="66"/>
      <c r="AM36" s="66"/>
      <c r="AN36" s="66"/>
      <c r="AO36" s="66"/>
      <c r="AP36" s="66"/>
    </row>
    <row r="37" spans="1:42" ht="13.5" thickTop="1" x14ac:dyDescent="0.2">
      <c r="M37" s="103" t="str">
        <f>IF(N36=0," ",IF(N36&lt;AF36,"Do Not Use this Calculation","Use this Calculation"))</f>
        <v xml:space="preserve"> </v>
      </c>
      <c r="N37" s="103"/>
      <c r="O37" s="103"/>
      <c r="P37" s="103"/>
      <c r="Q37" s="67"/>
      <c r="S37" s="3"/>
      <c r="AE37" s="103" t="str">
        <f>IF(AF36=0," ",IF(AF36&lt;N36,"Do Not Use this Calculation","Use this Calculation"))</f>
        <v xml:space="preserve"> </v>
      </c>
      <c r="AF37" s="104"/>
      <c r="AG37" s="104"/>
      <c r="AH37" s="104"/>
    </row>
    <row r="38" spans="1:42" x14ac:dyDescent="0.2">
      <c r="Q38" s="63"/>
    </row>
    <row r="39" spans="1:42" hidden="1" x14ac:dyDescent="0.2">
      <c r="Q39" s="63"/>
    </row>
    <row r="40" spans="1:42" hidden="1" x14ac:dyDescent="0.2">
      <c r="Q40" s="63"/>
    </row>
    <row r="41" spans="1:42" hidden="1" x14ac:dyDescent="0.2">
      <c r="Q41" s="66"/>
    </row>
    <row r="42" spans="1:42" hidden="1" x14ac:dyDescent="0.2">
      <c r="Q42" s="66"/>
    </row>
    <row r="43" spans="1:42" hidden="1" x14ac:dyDescent="0.2">
      <c r="Q43" s="66"/>
    </row>
    <row r="44" spans="1:42" hidden="1" x14ac:dyDescent="0.2">
      <c r="Q44" s="66"/>
    </row>
  </sheetData>
  <sheetProtection algorithmName="SHA-512" hashValue="MAPYuDwu+pXZGIol7eCq/pdjKKKatOjph60L1VTQhITAVUxHtdLnDll6LqYy2+dmp7M2oM15XARAj8XrBebimA==" saltValue="HgC80qcF/78+V3ivR6P/jQ==" spinCount="100000" sheet="1" objects="1" scenarios="1"/>
  <mergeCells count="37">
    <mergeCell ref="M37:P37"/>
    <mergeCell ref="AB32:AC32"/>
    <mergeCell ref="T34:Y34"/>
    <mergeCell ref="AB34:AC34"/>
    <mergeCell ref="AF36:AG36"/>
    <mergeCell ref="N36:O36"/>
    <mergeCell ref="AB22:AC22"/>
    <mergeCell ref="AB24:AC24"/>
    <mergeCell ref="AB26:AC26"/>
    <mergeCell ref="AB29:AC29"/>
    <mergeCell ref="AE37:AH37"/>
    <mergeCell ref="A1:O1"/>
    <mergeCell ref="S1:AG1"/>
    <mergeCell ref="S2:AG2"/>
    <mergeCell ref="S3:AG3"/>
    <mergeCell ref="J18:K18"/>
    <mergeCell ref="AB5:AC5"/>
    <mergeCell ref="AB7:AC7"/>
    <mergeCell ref="AB11:AC11"/>
    <mergeCell ref="AB13:AC13"/>
    <mergeCell ref="AB16:AC16"/>
    <mergeCell ref="AB18:AC18"/>
    <mergeCell ref="B34:G34"/>
    <mergeCell ref="J34:K34"/>
    <mergeCell ref="B32:G32"/>
    <mergeCell ref="A2:O2"/>
    <mergeCell ref="A3:O3"/>
    <mergeCell ref="J13:K13"/>
    <mergeCell ref="J16:K16"/>
    <mergeCell ref="J5:K5"/>
    <mergeCell ref="J11:K11"/>
    <mergeCell ref="J7:K7"/>
    <mergeCell ref="J32:K32"/>
    <mergeCell ref="J22:K22"/>
    <mergeCell ref="J24:K24"/>
    <mergeCell ref="J26:K26"/>
    <mergeCell ref="J29:K29"/>
  </mergeCells>
  <phoneticPr fontId="0" type="noConversion"/>
  <pageMargins left="0.5" right="0.5" top="0.5" bottom="0.5" header="0.25" footer="0.25"/>
  <pageSetup scale="81" orientation="portrait" r:id="rId1"/>
  <headerFooter alignWithMargins="0">
    <oddFooter>&amp;L&amp;F</oddFooter>
  </headerFooter>
  <colBreaks count="1" manualBreakCount="1">
    <brk id="16" max="1048575" man="1"/>
  </colBreaks>
  <ignoredErrors>
    <ignoredError sqref="AH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678E-C5DA-4781-B234-88E711361B87}">
  <dimension ref="A1:AP44"/>
  <sheetViews>
    <sheetView showGridLines="0" zoomScale="90" zoomScaleNormal="100" workbookViewId="0">
      <selection sqref="A1:O1"/>
    </sheetView>
  </sheetViews>
  <sheetFormatPr defaultColWidth="0"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8" width="4.7109375" style="27" customWidth="1"/>
    <col min="19" max="19" width="4.140625" customWidth="1"/>
    <col min="20" max="20" width="2.5703125" customWidth="1"/>
    <col min="21" max="24" width="9.140625" customWidth="1"/>
    <col min="25" max="25" width="4.5703125" customWidth="1"/>
    <col min="26" max="26" width="10.140625" customWidth="1"/>
    <col min="27" max="27" width="3.140625" customWidth="1"/>
    <col min="28" max="28" width="9.140625" customWidth="1"/>
    <col min="29" max="29" width="6.28515625" customWidth="1"/>
    <col min="30" max="30" width="3.85546875" customWidth="1"/>
    <col min="31" max="31" width="10.7109375" customWidth="1"/>
    <col min="32" max="32" width="8.140625" customWidth="1"/>
    <col min="33" max="33" width="12.28515625" customWidth="1"/>
    <col min="34" max="34" width="10.28515625" customWidth="1"/>
    <col min="35" max="35" width="4.7109375" style="63" customWidth="1"/>
    <col min="36" max="42" width="0" hidden="1" customWidth="1"/>
    <col min="43" max="16384" width="9.140625" hidden="1"/>
  </cols>
  <sheetData>
    <row r="1" spans="1:42" ht="17.100000000000001" customHeight="1" x14ac:dyDescent="0.2">
      <c r="A1" s="100" t="s">
        <v>65</v>
      </c>
      <c r="B1" s="100"/>
      <c r="C1" s="100"/>
      <c r="D1" s="100"/>
      <c r="E1" s="100"/>
      <c r="F1" s="100"/>
      <c r="G1" s="100"/>
      <c r="H1" s="100"/>
      <c r="I1" s="100"/>
      <c r="J1" s="100"/>
      <c r="K1" s="100"/>
      <c r="L1" s="100"/>
      <c r="M1" s="100"/>
      <c r="N1" s="100"/>
      <c r="O1" s="100"/>
      <c r="P1" s="60"/>
      <c r="Q1" s="64"/>
      <c r="S1" s="100" t="s">
        <v>65</v>
      </c>
      <c r="T1" s="100"/>
      <c r="U1" s="100"/>
      <c r="V1" s="100"/>
      <c r="W1" s="100"/>
      <c r="X1" s="100"/>
      <c r="Y1" s="100"/>
      <c r="Z1" s="100"/>
      <c r="AA1" s="100"/>
      <c r="AB1" s="100"/>
      <c r="AC1" s="100"/>
      <c r="AD1" s="100"/>
      <c r="AE1" s="100"/>
      <c r="AF1" s="100"/>
      <c r="AG1" s="100"/>
      <c r="AH1" s="60"/>
    </row>
    <row r="2" spans="1:42" ht="17.100000000000001" customHeight="1" x14ac:dyDescent="0.2">
      <c r="A2" s="100" t="s">
        <v>115</v>
      </c>
      <c r="B2" s="100"/>
      <c r="C2" s="100"/>
      <c r="D2" s="100"/>
      <c r="E2" s="100"/>
      <c r="F2" s="100"/>
      <c r="G2" s="100"/>
      <c r="H2" s="100"/>
      <c r="I2" s="100"/>
      <c r="J2" s="100"/>
      <c r="K2" s="100"/>
      <c r="L2" s="100"/>
      <c r="M2" s="100"/>
      <c r="N2" s="100"/>
      <c r="O2" s="100"/>
      <c r="Q2" s="64"/>
      <c r="S2" s="100" t="s">
        <v>115</v>
      </c>
      <c r="T2" s="100"/>
      <c r="U2" s="100"/>
      <c r="V2" s="100"/>
      <c r="W2" s="100"/>
      <c r="X2" s="100"/>
      <c r="Y2" s="100"/>
      <c r="Z2" s="100"/>
      <c r="AA2" s="100"/>
      <c r="AB2" s="100"/>
      <c r="AC2" s="100"/>
      <c r="AD2" s="100"/>
      <c r="AE2" s="100"/>
      <c r="AF2" s="100"/>
      <c r="AG2" s="100"/>
      <c r="AH2" s="60"/>
    </row>
    <row r="3" spans="1:42" ht="17.100000000000001" customHeight="1" x14ac:dyDescent="0.25">
      <c r="A3" s="100" t="s">
        <v>108</v>
      </c>
      <c r="B3" s="100"/>
      <c r="C3" s="100"/>
      <c r="D3" s="100"/>
      <c r="E3" s="100"/>
      <c r="F3" s="100"/>
      <c r="G3" s="100"/>
      <c r="H3" s="100"/>
      <c r="I3" s="100"/>
      <c r="J3" s="100"/>
      <c r="K3" s="100"/>
      <c r="L3" s="100"/>
      <c r="M3" s="100"/>
      <c r="N3" s="100"/>
      <c r="O3" s="100"/>
      <c r="Q3" s="64"/>
      <c r="S3" s="102" t="s">
        <v>107</v>
      </c>
      <c r="T3" s="102"/>
      <c r="U3" s="102"/>
      <c r="V3" s="102"/>
      <c r="W3" s="102"/>
      <c r="X3" s="102"/>
      <c r="Y3" s="102"/>
      <c r="Z3" s="102"/>
      <c r="AA3" s="102"/>
      <c r="AB3" s="102"/>
      <c r="AC3" s="102"/>
      <c r="AD3" s="102"/>
      <c r="AE3" s="102"/>
      <c r="AF3" s="102"/>
      <c r="AG3" s="102"/>
    </row>
    <row r="4" spans="1:42" ht="7.5" customHeight="1" x14ac:dyDescent="0.2">
      <c r="Q4" s="64"/>
    </row>
    <row r="5" spans="1:42" ht="31.5" customHeight="1" x14ac:dyDescent="0.2">
      <c r="A5" s="10" t="s">
        <v>38</v>
      </c>
      <c r="F5" s="25" t="s">
        <v>66</v>
      </c>
      <c r="H5" s="26" t="s">
        <v>70</v>
      </c>
      <c r="I5" s="12"/>
      <c r="J5" s="86" t="s">
        <v>71</v>
      </c>
      <c r="K5" s="87"/>
      <c r="M5" s="14" t="s">
        <v>67</v>
      </c>
      <c r="O5" s="24" t="s">
        <v>68</v>
      </c>
      <c r="Q5" s="64"/>
      <c r="S5" s="10" t="s">
        <v>38</v>
      </c>
      <c r="X5" s="25" t="s">
        <v>66</v>
      </c>
      <c r="Z5" s="26" t="s">
        <v>70</v>
      </c>
      <c r="AA5" s="12"/>
      <c r="AB5" s="86" t="s">
        <v>71</v>
      </c>
      <c r="AC5" s="87"/>
      <c r="AE5" s="14" t="s">
        <v>67</v>
      </c>
      <c r="AG5" s="24" t="s">
        <v>68</v>
      </c>
    </row>
    <row r="6" spans="1:42" ht="6.75" customHeight="1" x14ac:dyDescent="0.2">
      <c r="Q6" s="67"/>
      <c r="S6" s="3"/>
      <c r="AH6" s="6" t="str">
        <f>IF('Enrollment Input'!V15=0," ",IF(AG7=0,"ADD to 1-6",IF(AG7=AI6," ","Minimum")))</f>
        <v xml:space="preserve"> </v>
      </c>
    </row>
    <row r="7" spans="1:42" ht="15.75" x14ac:dyDescent="0.25">
      <c r="B7" s="7" t="s">
        <v>113</v>
      </c>
      <c r="F7" s="62" t="str">
        <f>IF('Enrollment Input'!$G$15=0,"0",'Enrollment Input'!$G$15)</f>
        <v>0</v>
      </c>
      <c r="G7" s="22"/>
      <c r="H7" s="21"/>
      <c r="I7" s="21"/>
      <c r="J7" s="99" t="str">
        <f>IF('Enrollment Input'!$G$15=0,"0",'Enrollment Input'!$G$15)</f>
        <v>0</v>
      </c>
      <c r="K7" s="99"/>
      <c r="L7" s="13" t="s">
        <v>42</v>
      </c>
      <c r="M7" s="9">
        <f>IF('Enrollment Input'!G15=0,0,LOOKUP(J7,criteria!$A$3:$A$10,criteria!$B$3:$B$10))</f>
        <v>0</v>
      </c>
      <c r="N7" s="11" t="s">
        <v>14</v>
      </c>
      <c r="O7" s="62">
        <f>IF(Q7=0,0,IF(Q7&lt;LOOKUP(J7,criteria!$A$3:$A$10,criteria!$C$3:$C$10),LOOKUP(J7,criteria!$A$3:$A$10,criteria!$C$3:$C$10),IF(LOOKUP(J7,criteria!$A$3:$A$10,criteria!$C$3:$C$10)=0,0,Q7)))</f>
        <v>0</v>
      </c>
      <c r="P7" s="6" t="str">
        <f>IF('Enrollment Input'!G15=0," ",IF(O7=0,"ADD to 1-6",IF(O7=Q7," ","Minimum")))</f>
        <v xml:space="preserve"> </v>
      </c>
      <c r="Q7" s="67">
        <f>ROUND(IF('Enrollment Input'!G15=0,0,IF(M7=0,0,(J7/M7))),2)</f>
        <v>0</v>
      </c>
      <c r="S7" s="3"/>
      <c r="T7" s="7" t="s">
        <v>113</v>
      </c>
      <c r="X7" s="62" t="str">
        <f>IF('Enrollment Input'!$G$15=0,"0",'Enrollment Input'!$G$15)</f>
        <v>0</v>
      </c>
      <c r="Y7" s="21"/>
      <c r="Z7" s="21"/>
      <c r="AA7" s="21"/>
      <c r="AB7" s="99" t="str">
        <f>IF('Enrollment Input'!G15=0,"0",'Enrollment Input'!G15)</f>
        <v>0</v>
      </c>
      <c r="AC7" s="99"/>
      <c r="AD7" s="13" t="s">
        <v>42</v>
      </c>
      <c r="AE7" s="9">
        <f>IF('Enrollment Input'!G15=0,0,LOOKUP(AB7,criteria!$A$3:$A$10,criteria!$B$3:$B$10))</f>
        <v>0</v>
      </c>
      <c r="AF7" s="22" t="s">
        <v>14</v>
      </c>
      <c r="AG7" s="62">
        <f>IF(AI7=0,0,IF(AI7&lt;LOOKUP(AB7,criteria!$A$3:$A$10,criteria!$C$3:$C$10),LOOKUP(AB7,criteria!$A$3:$A$10,criteria!$C$3:$C$10),IF(LOOKUP(AB7,criteria!$A$3:$A$10,criteria!$C$3:$C$10)=0,0,AI7)))</f>
        <v>0</v>
      </c>
      <c r="AH7" s="6" t="str">
        <f>IF('Enrollment Input'!G15=0," ",IF(AG7=0,"ADD to 1-6",IF(AG7=AI7," ","Minimum")))</f>
        <v xml:space="preserve"> </v>
      </c>
      <c r="AI7" s="63">
        <f>ROUND(IF('Enrollment Input'!G15=0,0,IF(AE7=0,0,(AB7/AE7))),2)</f>
        <v>0</v>
      </c>
      <c r="AJ7" s="66"/>
      <c r="AK7" s="66"/>
      <c r="AL7" s="66"/>
      <c r="AM7" s="66"/>
      <c r="AN7" s="66"/>
      <c r="AO7" s="66"/>
      <c r="AP7" s="66"/>
    </row>
    <row r="8" spans="1:42" ht="6.75" customHeight="1" x14ac:dyDescent="0.2">
      <c r="F8" s="21"/>
      <c r="G8" s="21"/>
      <c r="H8" s="21"/>
      <c r="I8" s="21"/>
      <c r="J8" s="21"/>
      <c r="K8" s="21"/>
      <c r="O8" s="21"/>
      <c r="Q8" s="67"/>
      <c r="S8" s="3"/>
      <c r="X8" s="21"/>
      <c r="Y8" s="21"/>
      <c r="Z8" s="21"/>
      <c r="AA8" s="21"/>
      <c r="AB8" s="21"/>
      <c r="AC8" s="21"/>
      <c r="AF8" s="21"/>
      <c r="AG8" s="21"/>
      <c r="AJ8" s="66"/>
      <c r="AK8" s="66"/>
      <c r="AL8" s="66"/>
      <c r="AM8" s="66"/>
      <c r="AN8" s="66"/>
      <c r="AO8" s="66"/>
      <c r="AP8" s="66"/>
    </row>
    <row r="9" spans="1:42" x14ac:dyDescent="0.2">
      <c r="B9" s="7" t="s">
        <v>47</v>
      </c>
      <c r="F9" s="21"/>
      <c r="G9" s="21"/>
      <c r="H9" s="21"/>
      <c r="I9" s="21"/>
      <c r="J9" s="21"/>
      <c r="K9" s="21"/>
      <c r="O9" s="21"/>
      <c r="Q9" s="67"/>
      <c r="S9" s="3"/>
      <c r="T9" s="7" t="s">
        <v>47</v>
      </c>
      <c r="X9" s="21"/>
      <c r="Y9" s="21"/>
      <c r="Z9" s="21"/>
      <c r="AA9" s="21"/>
      <c r="AB9" s="21"/>
      <c r="AC9" s="21"/>
      <c r="AF9" s="21"/>
      <c r="AG9" s="21"/>
      <c r="AJ9" s="66"/>
      <c r="AK9" s="66"/>
      <c r="AL9" s="66"/>
      <c r="AM9" s="66"/>
      <c r="AN9" s="66"/>
      <c r="AO9" s="66"/>
      <c r="AP9" s="66"/>
    </row>
    <row r="10" spans="1:42" x14ac:dyDescent="0.2">
      <c r="B10" s="6" t="s">
        <v>69</v>
      </c>
      <c r="F10" s="21"/>
      <c r="G10" s="21"/>
      <c r="H10" s="21"/>
      <c r="I10" s="21"/>
      <c r="J10" s="21"/>
      <c r="K10" s="21"/>
      <c r="O10" s="21"/>
      <c r="Q10" s="67"/>
      <c r="S10" s="3"/>
      <c r="T10" s="6" t="s">
        <v>69</v>
      </c>
      <c r="X10" s="21"/>
      <c r="Y10" s="21"/>
      <c r="Z10" s="21"/>
      <c r="AA10" s="21"/>
      <c r="AB10" s="21"/>
      <c r="AC10" s="21"/>
      <c r="AF10" s="21"/>
      <c r="AG10" s="21"/>
      <c r="AJ10" s="66"/>
      <c r="AK10" s="66"/>
      <c r="AL10" s="66"/>
      <c r="AM10" s="66"/>
      <c r="AN10" s="66"/>
      <c r="AO10" s="66"/>
      <c r="AP10" s="66"/>
    </row>
    <row r="11" spans="1:42" ht="16.5" customHeight="1" x14ac:dyDescent="0.25">
      <c r="C11" s="8" t="s">
        <v>39</v>
      </c>
      <c r="F11" s="62" t="str">
        <f>IF(J11=0," ",IF($J$16&gt;300," ",'Enrollment Input'!G18))</f>
        <v xml:space="preserve"> </v>
      </c>
      <c r="G11" s="65" t="s">
        <v>75</v>
      </c>
      <c r="H11" s="62" t="str">
        <f>IF(J11=0," ",'Exceptional Child Calc'!H25)</f>
        <v xml:space="preserve"> </v>
      </c>
      <c r="I11" s="22" t="s">
        <v>14</v>
      </c>
      <c r="J11" s="99">
        <f>IF('Enrollment Input'!G18=0,0,IF(SUM('Enrollment Input'!G18-'Exceptional Child Calc'!H25)+SUM('Enrollment Input'!G19-'Exceptional Child Calc'!H26)&gt;299.99,SUM('Enrollment Input'!G18-'Exceptional Child Calc'!H25),0))</f>
        <v>0</v>
      </c>
      <c r="K11" s="99"/>
      <c r="L11" s="13" t="s">
        <v>42</v>
      </c>
      <c r="M11" s="9">
        <f>IF(SUM('Enrollment Input'!$G$18-'Exceptional Child Calc'!$H$25)+SUM('Enrollment Input'!$G$19-'Exceptional Child Calc'!$H$26)&gt;299.99,20,0)</f>
        <v>0</v>
      </c>
      <c r="N11" s="11" t="s">
        <v>14</v>
      </c>
      <c r="O11" s="62">
        <f>ROUND(IF(SUM('Enrollment Input'!$G$18-'Exceptional Child Calc'!$H$25)+SUM('Enrollment Input'!$G$19-'Exceptional Child Calc'!$H$26)&lt;300,0,IF(Q11+Q13&lt;15,0,(J11/M11))),2)</f>
        <v>0</v>
      </c>
      <c r="P11" t="str">
        <f>IF(O11=0," ",IF(O11=Q11," ","Minimum"))</f>
        <v xml:space="preserve"> </v>
      </c>
      <c r="Q11" s="67">
        <f>ROUND(IF(SUM('Enrollment Input'!$G$18-'Exceptional Child Calc'!$H$25)+SUM('Enrollment Input'!$G$19-'Exceptional Child Calc'!$H$26)&lt;300,0,(J11/M11)),2)</f>
        <v>0</v>
      </c>
      <c r="S11" s="3"/>
      <c r="U11" s="8" t="s">
        <v>39</v>
      </c>
      <c r="X11" s="62" t="str">
        <f>IF(AB11=0," ",IF($AB$16&gt;300," ",'Enrollment Input'!G18))</f>
        <v xml:space="preserve"> </v>
      </c>
      <c r="Y11" s="65" t="s">
        <v>75</v>
      </c>
      <c r="Z11" s="62" t="str">
        <f>IF(AB11=0," ",'Exceptional Child Calc'!H25)</f>
        <v xml:space="preserve"> </v>
      </c>
      <c r="AA11" s="22" t="s">
        <v>14</v>
      </c>
      <c r="AB11" s="99">
        <f>IF('Enrollment Input'!G18=0,0,IF(SUM('Enrollment Input'!G18-'Exceptional Child Calc'!H25)+SUM('Enrollment Input'!G19-'Exceptional Child Calc'!H26)&gt;299.99,SUM('Enrollment Input'!G18-'Exceptional Child Calc'!H25),0))</f>
        <v>0</v>
      </c>
      <c r="AC11" s="99"/>
      <c r="AD11" s="13" t="s">
        <v>42</v>
      </c>
      <c r="AE11" s="9">
        <f>IF(SUM('Enrollment Input'!$G$18-'Exceptional Child Calc'!$H$25)+SUM('Enrollment Input'!$G$19-'Exceptional Child Calc'!$H$26)&gt;299.99,20,0)</f>
        <v>0</v>
      </c>
      <c r="AF11" s="22" t="s">
        <v>14</v>
      </c>
      <c r="AG11" s="62">
        <f>ROUND(IF(SUM('Enrollment Input'!$G$18-'Exceptional Child Calc'!$H$25)+SUM('Enrollment Input'!$G$19-'Exceptional Child Calc'!$H$26)&lt;300,0,IF(AI11+AI13&lt;15,0,(AB11/AE11))),2)</f>
        <v>0</v>
      </c>
      <c r="AH11" t="str">
        <f>IF(AG11=0," ",IF(AG11=AI11," ","Minimum"))</f>
        <v xml:space="preserve"> </v>
      </c>
      <c r="AI11" s="63">
        <f>ROUND(IF(SUM('Enrollment Input'!$G$18-'Exceptional Child Calc'!$H$25)+SUM('Enrollment Input'!$G$19-'Exceptional Child Calc'!$H$26)&lt;300,0,(AB11/AE11)),2)</f>
        <v>0</v>
      </c>
      <c r="AJ11" s="66"/>
      <c r="AK11" s="66"/>
      <c r="AL11" s="66"/>
      <c r="AM11" s="66"/>
      <c r="AN11" s="66"/>
      <c r="AO11" s="66"/>
      <c r="AP11" s="66"/>
    </row>
    <row r="12" spans="1:42" ht="9" customHeight="1" x14ac:dyDescent="0.2">
      <c r="B12" s="8"/>
      <c r="F12" s="21"/>
      <c r="G12" s="21"/>
      <c r="H12" s="21"/>
      <c r="I12" s="21"/>
      <c r="J12" s="21"/>
      <c r="K12" s="21"/>
      <c r="O12" s="21"/>
      <c r="Q12" s="67"/>
      <c r="S12" s="3"/>
      <c r="T12" s="8"/>
      <c r="X12" s="21"/>
      <c r="Y12" s="21"/>
      <c r="Z12" s="21"/>
      <c r="AA12" s="21"/>
      <c r="AB12" s="21"/>
      <c r="AC12" s="21"/>
      <c r="AF12" s="21"/>
      <c r="AG12" s="21"/>
      <c r="AJ12" s="66"/>
      <c r="AK12" s="66"/>
      <c r="AL12" s="66"/>
      <c r="AM12" s="66"/>
      <c r="AN12" s="66"/>
      <c r="AO12" s="66"/>
      <c r="AP12" s="66"/>
    </row>
    <row r="13" spans="1:42" ht="15.75" x14ac:dyDescent="0.25">
      <c r="C13" s="8" t="s">
        <v>40</v>
      </c>
      <c r="F13" s="62" t="str">
        <f>IF(J13=0," ",IF($J$16&gt;300," ",'Enrollment Input'!G19))</f>
        <v xml:space="preserve"> </v>
      </c>
      <c r="G13" s="65" t="s">
        <v>75</v>
      </c>
      <c r="H13" s="62" t="str">
        <f>IF(J13=0," ",'Exceptional Child Calc'!H26)</f>
        <v xml:space="preserve"> </v>
      </c>
      <c r="I13" s="22" t="s">
        <v>14</v>
      </c>
      <c r="J13" s="99">
        <f>IF('Enrollment Input'!G19=0,0,IF(SUM('Enrollment Input'!G18-'Exceptional Child Calc'!H25)+SUM('Enrollment Input'!G19-'Exceptional Child Calc'!H26)&gt;299.99,SUM('Enrollment Input'!G19-'Exceptional Child Calc'!H26),0))</f>
        <v>0</v>
      </c>
      <c r="K13" s="99"/>
      <c r="L13" s="13" t="s">
        <v>42</v>
      </c>
      <c r="M13" s="9">
        <f>IF(SUM('Enrollment Input'!$G$18-'Exceptional Child Calc'!$H$25)+SUM('Enrollment Input'!$G$19-'Exceptional Child Calc'!$H$26)&gt;299.99,23,0)</f>
        <v>0</v>
      </c>
      <c r="N13" s="11" t="s">
        <v>14</v>
      </c>
      <c r="O13" s="62">
        <f>ROUND(IF(SUM('Enrollment Input'!$G$18-'Exceptional Child Calc'!$H$25)+SUM('Enrollment Input'!$G$19-'Exceptional Child Calc'!$H$26)&lt;300,0,IF(Q11+Q13&lt;15,0,($J$13/$M$13))),2)</f>
        <v>0</v>
      </c>
      <c r="P13" t="str">
        <f>IF(O13=0," ",IF(O13=Q13," ","Minimum"))</f>
        <v xml:space="preserve"> </v>
      </c>
      <c r="Q13" s="67">
        <f>ROUND(IF(SUM('Enrollment Input'!$G$18-'Exceptional Child Calc'!$H$25)+SUM('Enrollment Input'!$G$19-'Exceptional Child Calc'!$H$26)&lt;300,0,($J$13/$M$13)),2)</f>
        <v>0</v>
      </c>
      <c r="S13" s="3"/>
      <c r="U13" s="8" t="s">
        <v>40</v>
      </c>
      <c r="X13" s="62" t="str">
        <f>IF(AB13=0," ",IF($AB$16&gt;300," ",'Enrollment Input'!G19))</f>
        <v xml:space="preserve"> </v>
      </c>
      <c r="Y13" s="65" t="s">
        <v>75</v>
      </c>
      <c r="Z13" s="62" t="str">
        <f>IF(AB13=0," ",'Exceptional Child Calc'!H26)</f>
        <v xml:space="preserve"> </v>
      </c>
      <c r="AA13" s="22" t="s">
        <v>14</v>
      </c>
      <c r="AB13" s="99">
        <f>IF('Enrollment Input'!G19=0,0,IF(SUM('Enrollment Input'!G18-'Exceptional Child Calc'!H25)+SUM('Enrollment Input'!G19-'Exceptional Child Calc'!H26)&gt;299.99,SUM('Enrollment Input'!G19-'Exceptional Child Calc'!H26),0))</f>
        <v>0</v>
      </c>
      <c r="AC13" s="99"/>
      <c r="AD13" s="13" t="s">
        <v>42</v>
      </c>
      <c r="AE13" s="9">
        <f>IF(SUM('Enrollment Input'!$G$18-'Exceptional Child Calc'!$H$25)+SUM('Enrollment Input'!$G$19-'Exceptional Child Calc'!$H$26)&gt;299.99,23,0)</f>
        <v>0</v>
      </c>
      <c r="AF13" s="22" t="s">
        <v>14</v>
      </c>
      <c r="AG13" s="62">
        <f>ROUND(IF(SUM('Enrollment Input'!$G$18-'Exceptional Child Calc'!$H$25)+SUM('Enrollment Input'!$G$19-'Exceptional Child Calc'!$H$26)&lt;300,0,IF(AI11+AI13&lt;15,0,($AB$13/$AE$13))),2)</f>
        <v>0</v>
      </c>
      <c r="AH13" t="str">
        <f>IF(AG13=0," ",IF(AG13=AI13," ","Minimum"))</f>
        <v xml:space="preserve"> </v>
      </c>
      <c r="AI13" s="63">
        <f>ROUND(IF(SUM('Enrollment Input'!$G$18-'Exceptional Child Calc'!$H$25)+SUM('Enrollment Input'!$G$19-'Exceptional Child Calc'!$H$26)&lt;300,0,(AB13/AE13)),2)</f>
        <v>0</v>
      </c>
      <c r="AJ13" s="66"/>
      <c r="AK13" s="66"/>
      <c r="AL13" s="66"/>
      <c r="AM13" s="66"/>
      <c r="AN13" s="66"/>
      <c r="AO13" s="66"/>
      <c r="AP13" s="66"/>
    </row>
    <row r="14" spans="1:42" ht="17.25" customHeight="1" x14ac:dyDescent="0.2">
      <c r="B14" s="7" t="s">
        <v>47</v>
      </c>
      <c r="F14" s="22"/>
      <c r="G14" s="65"/>
      <c r="H14" s="22"/>
      <c r="I14" s="22"/>
      <c r="J14" s="22"/>
      <c r="K14" s="22"/>
      <c r="M14" s="12"/>
      <c r="N14" s="11"/>
      <c r="O14" s="22" t="str">
        <f>IF(P14="Minimum",15," ")</f>
        <v xml:space="preserve"> </v>
      </c>
      <c r="P14" t="str">
        <f>IF(Q11+Q13=0," ",IF(Q11+Q13&lt;15,"Minimum"," "))</f>
        <v xml:space="preserve"> </v>
      </c>
      <c r="Q14" s="67"/>
      <c r="S14" s="3"/>
      <c r="T14" s="7" t="s">
        <v>47</v>
      </c>
      <c r="X14" s="21"/>
      <c r="Y14" s="21"/>
      <c r="Z14" s="21"/>
      <c r="AA14" s="21"/>
      <c r="AB14" s="21"/>
      <c r="AC14" s="21"/>
      <c r="AF14" s="21"/>
      <c r="AG14" s="22" t="str">
        <f>IF(AH14="Minimum",15," ")</f>
        <v xml:space="preserve"> </v>
      </c>
      <c r="AH14" t="str">
        <f>IF(AI11+AI13=0," ",IF(AI11+AI13&lt;15,"Minimum"," "))</f>
        <v xml:space="preserve"> </v>
      </c>
      <c r="AJ14" s="66"/>
      <c r="AK14" s="66"/>
      <c r="AL14" s="66"/>
      <c r="AM14" s="66"/>
      <c r="AN14" s="66"/>
      <c r="AO14" s="66"/>
      <c r="AP14" s="66"/>
    </row>
    <row r="15" spans="1:42" x14ac:dyDescent="0.2">
      <c r="B15" s="6" t="s">
        <v>78</v>
      </c>
      <c r="F15" s="21"/>
      <c r="G15" s="21"/>
      <c r="H15" s="21"/>
      <c r="I15" s="21"/>
      <c r="J15" s="21"/>
      <c r="K15" s="21"/>
      <c r="O15" s="22" t="str">
        <f>IF(P15="Minimum",15," ")</f>
        <v xml:space="preserve"> </v>
      </c>
      <c r="Q15" s="67"/>
      <c r="S15" s="3"/>
      <c r="T15" s="6" t="s">
        <v>78</v>
      </c>
      <c r="X15" s="21"/>
      <c r="Y15" s="21"/>
      <c r="Z15" s="21"/>
      <c r="AA15" s="21"/>
      <c r="AB15" s="21"/>
      <c r="AC15" s="21"/>
      <c r="AF15" s="21"/>
      <c r="AG15" s="21"/>
      <c r="AJ15" s="66"/>
      <c r="AK15" s="66"/>
      <c r="AL15" s="66"/>
      <c r="AM15" s="66"/>
      <c r="AN15" s="66"/>
      <c r="AO15" s="66"/>
      <c r="AP15" s="66"/>
    </row>
    <row r="16" spans="1:42" ht="15.75" x14ac:dyDescent="0.25">
      <c r="C16" s="8" t="s">
        <v>41</v>
      </c>
      <c r="F16" s="62" t="str">
        <f>IF(J16=0," ",IF(J16&lt;300,SUM('Enrollment Input'!G18+'Enrollment Input'!G19)," "))</f>
        <v xml:space="preserve"> </v>
      </c>
      <c r="G16" s="65" t="s">
        <v>75</v>
      </c>
      <c r="H16" s="62" t="str">
        <f>IF(J16=0," ",'Exceptional Child Calc'!H22)</f>
        <v xml:space="preserve"> </v>
      </c>
      <c r="I16" s="22" t="s">
        <v>14</v>
      </c>
      <c r="J16" s="99">
        <f>IF('Enrollment Input'!G20=0,0,IF(SUM('Enrollment Input'!G18-'Exceptional Child Calc'!H25)+SUM('Enrollment Input'!G19-'Exceptional Child Calc'!H26)&lt;300,IF(P7="ADD to 1-6",SUM('Enrollment Input'!G18-'Exceptional Child Calc'!H25)+SUM('Enrollment Input'!G19-'Exceptional Child Calc'!H26)+'Enrollment Input'!G15,SUM('Enrollment Input'!G18-'Exceptional Child Calc'!H25)+SUM('Enrollment Input'!G19-'Exceptional Child Calc'!H26)),0))</f>
        <v>0</v>
      </c>
      <c r="K16" s="99"/>
      <c r="L16" s="13" t="s">
        <v>42</v>
      </c>
      <c r="M16" s="9">
        <f>IF(J16=0,0,LOOKUP(J16,criteria!$M$3:$M$11,criteria!$N$3:$N$11))</f>
        <v>0</v>
      </c>
      <c r="N16" s="11" t="s">
        <v>14</v>
      </c>
      <c r="O16" s="62">
        <f>IF(Q16=0,0,IF(Q16&lt;LOOKUP(J16,criteria!$M$3:$M$10,criteria!$O$3:$O$10),LOOKUP(J16,criteria!$M$3:$M$10,criteria!$O$3:$O$10),Q16))</f>
        <v>0</v>
      </c>
      <c r="P16" t="str">
        <f>IF(O16=0," ",IF(O16=Q16," ","Minimum"))</f>
        <v xml:space="preserve"> </v>
      </c>
      <c r="Q16" s="67">
        <f>ROUND(IF('Enrollment Input'!G20=0,0,IF(SUM('Enrollment Input'!$G$18-'Exceptional Child Calc'!$H$25)+SUM('Enrollment Input'!$G$19-'Exceptional Child Calc'!$H$26)&gt;299.99,0,(J16/M16))),2)</f>
        <v>0</v>
      </c>
      <c r="S16" s="3"/>
      <c r="U16" s="8" t="s">
        <v>41</v>
      </c>
      <c r="X16" s="62" t="str">
        <f>IF(AB16=0," ",IF(AB16&lt;300,SUM('Enrollment Input'!G18+'Enrollment Input'!G19)," "))</f>
        <v xml:space="preserve"> </v>
      </c>
      <c r="Y16" s="65" t="s">
        <v>75</v>
      </c>
      <c r="Z16" s="62" t="str">
        <f>IF(AB16=0," ",'Exceptional Child Calc'!H22)</f>
        <v xml:space="preserve"> </v>
      </c>
      <c r="AA16" s="22" t="s">
        <v>14</v>
      </c>
      <c r="AB16" s="99">
        <f>IF('Enrollment Input'!G20=0,0,IF(SUM('Enrollment Input'!G18-'Exceptional Child Calc'!H25)+SUM('Enrollment Input'!G19-'Exceptional Child Calc'!H26)&lt;300,IF(AH7="ADD to 1-6",SUM('Enrollment Input'!G18-'Exceptional Child Calc'!H25)+SUM('Enrollment Input'!G19-'Exceptional Child Calc'!H26)+'Enrollment Input'!G15,SUM('Enrollment Input'!G18-'Exceptional Child Calc'!H25)+SUM('Enrollment Input'!G19-'Exceptional Child Calc'!H26)),0))</f>
        <v>0</v>
      </c>
      <c r="AC16" s="99"/>
      <c r="AD16" s="13" t="s">
        <v>42</v>
      </c>
      <c r="AE16" s="9">
        <f>IF(AB16=0,0,LOOKUP(AB16,criteria!$M$3:$M$11,criteria!$N$3:$N$11))</f>
        <v>0</v>
      </c>
      <c r="AF16" s="22" t="s">
        <v>14</v>
      </c>
      <c r="AG16" s="62">
        <f>IF(AI16=0,0,IF(AI16&lt;LOOKUP(AB16,criteria!$M$3:$M$10,criteria!$O$3:$O$10),LOOKUP(AB16,criteria!$M$3:$M$10,criteria!$O$3:$O$10),AI16))</f>
        <v>0</v>
      </c>
      <c r="AH16" t="str">
        <f>IF(AG16=0," ",IF(AG16=AI16," ","Minimum"))</f>
        <v xml:space="preserve"> </v>
      </c>
      <c r="AI16" s="63">
        <f>ROUND(IF('Enrollment Input'!G20=0,0,IF(SUM('Enrollment Input'!$G$18-'Exceptional Child Calc'!$H$25)+SUM('Enrollment Input'!$G$19-'Exceptional Child Calc'!$H$26)&gt;299.99,0,(AB16/AE16))),2)</f>
        <v>0</v>
      </c>
      <c r="AJ16" s="66"/>
      <c r="AK16" s="66"/>
      <c r="AL16" s="66"/>
      <c r="AM16" s="66"/>
      <c r="AN16" s="66"/>
      <c r="AO16" s="66"/>
      <c r="AP16" s="66"/>
    </row>
    <row r="17" spans="1:42" ht="6" customHeight="1" x14ac:dyDescent="0.2">
      <c r="F17" s="21"/>
      <c r="G17" s="21"/>
      <c r="H17" s="21"/>
      <c r="I17" s="21"/>
      <c r="J17" s="21"/>
      <c r="K17" s="21"/>
      <c r="O17" s="21"/>
      <c r="Q17" s="67"/>
      <c r="S17" s="3"/>
      <c r="X17" s="21"/>
      <c r="Y17" s="21"/>
      <c r="Z17" s="21"/>
      <c r="AA17" s="21"/>
      <c r="AB17" s="21"/>
      <c r="AC17" s="21"/>
      <c r="AF17" s="21"/>
      <c r="AG17" s="21"/>
      <c r="AJ17" s="66"/>
      <c r="AK17" s="66"/>
      <c r="AL17" s="66"/>
      <c r="AM17" s="66"/>
      <c r="AN17" s="66"/>
      <c r="AO17" s="66"/>
      <c r="AP17" s="66"/>
    </row>
    <row r="18" spans="1:42" ht="15.75" x14ac:dyDescent="0.25">
      <c r="B18" s="7" t="s">
        <v>48</v>
      </c>
      <c r="F18" s="62" t="str">
        <f>IF(J18=0," ",'Enrollment Input'!G21)</f>
        <v xml:space="preserve"> </v>
      </c>
      <c r="G18" s="65" t="s">
        <v>75</v>
      </c>
      <c r="H18" s="62" t="str">
        <f>IF('Exceptional Child Calc'!$H$43=0," ",'Exceptional Child Calc'!$H$43)</f>
        <v xml:space="preserve"> </v>
      </c>
      <c r="I18" s="22" t="s">
        <v>14</v>
      </c>
      <c r="J18" s="99">
        <f>IF('Enrollment Input'!G21=0,0,SUM('Enrollment Input'!G21-'Exceptional Child Calc'!H43))</f>
        <v>0</v>
      </c>
      <c r="K18" s="99"/>
      <c r="L18" s="13" t="s">
        <v>42</v>
      </c>
      <c r="M18" s="9">
        <f>IF('Enrollment Input'!G21=0,0,IF(J18&gt;99.99,LOOKUP(J18,criteria!Q3:Q10,criteria!R3:R10),12))</f>
        <v>0</v>
      </c>
      <c r="N18" s="11" t="s">
        <v>14</v>
      </c>
      <c r="O18" s="62">
        <f>ROUND(IF(J18=0,0,IF(J18&lt;99.99,IF(M18=0,8,(J18/M18)),IF(Q18&lt;LOOKUP(J18,criteria!$Q$3:$Q$10,criteria!$S$3:$S$10),LOOKUP(J18,criteria!$Q$3:$Q$10,criteria!$S$3:$S$10),Q18))),2)</f>
        <v>0</v>
      </c>
      <c r="P18" t="str">
        <f>IF(O18=0," ",IF(O18=Q18," ","Minimum"))</f>
        <v xml:space="preserve"> </v>
      </c>
      <c r="Q18" s="67">
        <f>ROUND(IF(M18=0,0,(J18/M18)),2)</f>
        <v>0</v>
      </c>
      <c r="S18" s="3"/>
      <c r="T18" s="7" t="s">
        <v>48</v>
      </c>
      <c r="X18" s="62">
        <f>IF(AB18=0,0,'Enrollment Input'!G21)</f>
        <v>0</v>
      </c>
      <c r="Y18" s="65" t="s">
        <v>75</v>
      </c>
      <c r="Z18" s="62"/>
      <c r="AA18" s="22" t="s">
        <v>14</v>
      </c>
      <c r="AB18" s="99">
        <f>IF('Enrollment Input'!$G$21=0,0,'Enrollment Input'!$G$21)</f>
        <v>0</v>
      </c>
      <c r="AC18" s="99"/>
      <c r="AD18" s="13" t="s">
        <v>42</v>
      </c>
      <c r="AE18" s="9">
        <f>IF('Enrollment Input'!G21=0,0,IF(AB18&gt;99.99,LOOKUP(AB18,criteria!Q3:Q10,criteria!R3:R10),12))</f>
        <v>0</v>
      </c>
      <c r="AF18" s="22" t="s">
        <v>14</v>
      </c>
      <c r="AG18" s="62">
        <f>ROUND(IF(AB18=0,0,IF(AB18&lt;99.99,IF(AE18=0,8,(AB18/AE18)),IF(AI18&lt;LOOKUP(AB18,criteria!$Q$3:$Q$10,criteria!$S$3:$S$10),LOOKUP(AB18,criteria!$Q$3:$Q$10,criteria!$S$3:$S$10),AI18))),2)</f>
        <v>0</v>
      </c>
      <c r="AH18" t="str">
        <f>IF(AG18=0," ",IF(AG18=AI18," ","Minimum"))</f>
        <v xml:space="preserve"> </v>
      </c>
      <c r="AI18" s="63">
        <f>ROUND(IF(AE18=0,0,(AB18/AE18)),2)</f>
        <v>0</v>
      </c>
      <c r="AJ18" s="66"/>
      <c r="AK18" s="66"/>
      <c r="AL18" s="66"/>
      <c r="AM18" s="66"/>
      <c r="AN18" s="66"/>
      <c r="AO18" s="66"/>
      <c r="AP18" s="66"/>
    </row>
    <row r="19" spans="1:42" ht="9" customHeight="1" x14ac:dyDescent="0.2">
      <c r="B19" s="7"/>
      <c r="F19" s="22"/>
      <c r="G19" s="65"/>
      <c r="H19" s="22"/>
      <c r="I19" s="22"/>
      <c r="J19" s="22"/>
      <c r="K19" s="22"/>
      <c r="M19" s="12"/>
      <c r="N19" s="11"/>
      <c r="O19" s="22"/>
      <c r="Q19" s="67"/>
      <c r="S19" s="3"/>
      <c r="T19" s="7"/>
      <c r="X19" s="21"/>
      <c r="Y19" s="21"/>
      <c r="Z19" s="21"/>
      <c r="AA19" s="21"/>
      <c r="AB19" s="22"/>
      <c r="AC19" s="22"/>
      <c r="AE19" s="12"/>
      <c r="AF19" s="22"/>
      <c r="AG19" s="22"/>
      <c r="AJ19" s="66"/>
      <c r="AK19" s="66"/>
      <c r="AL19" s="66"/>
      <c r="AM19" s="66"/>
      <c r="AN19" s="66"/>
      <c r="AO19" s="66"/>
      <c r="AP19" s="66"/>
    </row>
    <row r="20" spans="1:42" ht="15" x14ac:dyDescent="0.2">
      <c r="A20" s="5" t="s">
        <v>59</v>
      </c>
      <c r="F20" s="21"/>
      <c r="G20" s="21"/>
      <c r="H20" s="21"/>
      <c r="I20" s="21"/>
      <c r="J20" s="21"/>
      <c r="K20" s="21"/>
      <c r="O20" s="21"/>
      <c r="Q20" s="67"/>
      <c r="S20" s="5" t="s">
        <v>59</v>
      </c>
      <c r="X20" s="21"/>
      <c r="Y20" s="21"/>
      <c r="Z20" s="21"/>
      <c r="AA20" s="21"/>
      <c r="AB20" s="21"/>
      <c r="AC20" s="21"/>
      <c r="AF20" s="21"/>
      <c r="AG20" s="21"/>
      <c r="AJ20" s="66"/>
      <c r="AK20" s="66"/>
      <c r="AL20" s="66"/>
      <c r="AM20" s="66"/>
      <c r="AN20" s="66"/>
      <c r="AO20" s="66"/>
      <c r="AP20" s="66"/>
    </row>
    <row r="21" spans="1:42" ht="3.75" customHeight="1" x14ac:dyDescent="0.2">
      <c r="F21" s="21"/>
      <c r="G21" s="21"/>
      <c r="H21" s="21"/>
      <c r="I21" s="21"/>
      <c r="J21" s="21"/>
      <c r="K21" s="21"/>
      <c r="O21" s="21"/>
      <c r="Q21" s="67"/>
      <c r="S21" s="3"/>
      <c r="X21" s="21"/>
      <c r="Y21" s="21"/>
      <c r="Z21" s="21"/>
      <c r="AA21" s="21"/>
      <c r="AB21" s="21"/>
      <c r="AC21" s="21"/>
      <c r="AF21" s="21"/>
      <c r="AG21" s="21"/>
      <c r="AJ21" s="66"/>
      <c r="AK21" s="66"/>
      <c r="AL21" s="66"/>
      <c r="AM21" s="66"/>
      <c r="AN21" s="66"/>
      <c r="AO21" s="66"/>
      <c r="AP21" s="66"/>
    </row>
    <row r="22" spans="1:42" x14ac:dyDescent="0.2">
      <c r="B22" t="s">
        <v>72</v>
      </c>
      <c r="F22" s="21"/>
      <c r="G22" s="21"/>
      <c r="H22" s="21"/>
      <c r="I22" s="21"/>
      <c r="J22" s="99" t="str">
        <f>IF('Exceptional Child Calc'!H55=0," ",'Exceptional Child Calc'!H55)</f>
        <v xml:space="preserve"> </v>
      </c>
      <c r="K22" s="99"/>
      <c r="O22" s="21"/>
      <c r="Q22" s="67"/>
      <c r="S22" s="3"/>
      <c r="T22" t="s">
        <v>72</v>
      </c>
      <c r="X22" s="21"/>
      <c r="Y22" s="21"/>
      <c r="Z22" s="21"/>
      <c r="AA22" s="21"/>
      <c r="AB22" s="99" t="str">
        <f>IF('Exceptional Child Calc'!H55=0," ",'Exceptional Child Calc'!H55)</f>
        <v xml:space="preserve"> </v>
      </c>
      <c r="AC22" s="99"/>
      <c r="AF22" s="21"/>
      <c r="AG22" s="21"/>
      <c r="AJ22" s="66"/>
      <c r="AK22" s="66"/>
      <c r="AL22" s="66"/>
      <c r="AM22" s="66"/>
      <c r="AN22" s="66"/>
      <c r="AO22" s="66"/>
      <c r="AP22" s="66"/>
    </row>
    <row r="23" spans="1:42" ht="9" customHeight="1" x14ac:dyDescent="0.2">
      <c r="F23" s="21"/>
      <c r="G23" s="21"/>
      <c r="H23" s="21"/>
      <c r="I23" s="21"/>
      <c r="J23" s="21"/>
      <c r="K23" s="21"/>
      <c r="O23" s="21"/>
      <c r="Q23" s="67"/>
      <c r="S23" s="3"/>
      <c r="X23" s="21"/>
      <c r="Y23" s="21"/>
      <c r="Z23" s="21"/>
      <c r="AA23" s="21"/>
      <c r="AB23" s="21"/>
      <c r="AC23" s="21"/>
      <c r="AF23" s="21"/>
      <c r="AG23" s="21"/>
      <c r="AJ23" s="66"/>
      <c r="AK23" s="66"/>
      <c r="AL23" s="66"/>
      <c r="AM23" s="66"/>
      <c r="AN23" s="66"/>
      <c r="AO23" s="66"/>
      <c r="AP23" s="66"/>
    </row>
    <row r="24" spans="1:42" x14ac:dyDescent="0.2">
      <c r="B24" t="s">
        <v>73</v>
      </c>
      <c r="F24" s="21"/>
      <c r="G24" s="21"/>
      <c r="H24" s="21"/>
      <c r="I24" s="21"/>
      <c r="J24" s="99" t="str">
        <f>IF('Exceptional Child Calc'!H22=0," ",'Exceptional Child Calc'!H22)</f>
        <v xml:space="preserve"> </v>
      </c>
      <c r="K24" s="99"/>
      <c r="O24" s="21"/>
      <c r="Q24" s="67"/>
      <c r="S24" s="3"/>
      <c r="T24" t="s">
        <v>73</v>
      </c>
      <c r="X24" s="21"/>
      <c r="Y24" s="21"/>
      <c r="Z24" s="21"/>
      <c r="AA24" s="21"/>
      <c r="AB24" s="99" t="str">
        <f>IF('Exceptional Child Calc'!H22=0," ",'Exceptional Child Calc'!H22)</f>
        <v xml:space="preserve"> </v>
      </c>
      <c r="AC24" s="99"/>
      <c r="AF24" s="21"/>
      <c r="AG24" s="21"/>
      <c r="AJ24" s="66"/>
      <c r="AK24" s="66"/>
      <c r="AL24" s="66"/>
      <c r="AM24" s="66"/>
      <c r="AN24" s="66"/>
      <c r="AO24" s="66"/>
      <c r="AP24" s="66"/>
    </row>
    <row r="25" spans="1:42" ht="9" customHeight="1" x14ac:dyDescent="0.2">
      <c r="F25" s="21"/>
      <c r="G25" s="21"/>
      <c r="H25" s="21"/>
      <c r="I25" s="21"/>
      <c r="J25" s="21"/>
      <c r="K25" s="21"/>
      <c r="O25" s="21"/>
      <c r="Q25" s="67"/>
      <c r="S25" s="3"/>
      <c r="X25" s="21"/>
      <c r="Y25" s="21"/>
      <c r="Z25" s="21"/>
      <c r="AA25" s="21"/>
      <c r="AB25" s="21"/>
      <c r="AC25" s="21"/>
      <c r="AF25" s="21"/>
      <c r="AG25" s="21"/>
      <c r="AJ25" s="66"/>
      <c r="AK25" s="66"/>
      <c r="AL25" s="66"/>
      <c r="AM25" s="66"/>
      <c r="AN25" s="66"/>
      <c r="AO25" s="66"/>
      <c r="AP25" s="66"/>
    </row>
    <row r="26" spans="1:42" x14ac:dyDescent="0.2">
      <c r="B26" t="s">
        <v>74</v>
      </c>
      <c r="F26" s="21"/>
      <c r="G26" s="21"/>
      <c r="H26" s="21"/>
      <c r="I26" s="21"/>
      <c r="J26" s="99" t="str">
        <f>IF('Exceptional Child Calc'!$H$43=0," ",'Exceptional Child Calc'!$H$43)</f>
        <v xml:space="preserve"> </v>
      </c>
      <c r="K26" s="99"/>
      <c r="O26" s="21"/>
      <c r="Q26" s="67"/>
      <c r="S26" s="3"/>
      <c r="T26" t="s">
        <v>74</v>
      </c>
      <c r="X26" s="21"/>
      <c r="Y26" s="21"/>
      <c r="Z26" s="21"/>
      <c r="AA26" s="21"/>
      <c r="AB26" s="99">
        <f>0</f>
        <v>0</v>
      </c>
      <c r="AC26" s="99"/>
      <c r="AF26" s="21"/>
      <c r="AG26" s="21"/>
      <c r="AJ26" s="66"/>
      <c r="AK26" s="66"/>
      <c r="AL26" s="66"/>
      <c r="AM26" s="66"/>
      <c r="AN26" s="66"/>
      <c r="AO26" s="66"/>
      <c r="AP26" s="66"/>
    </row>
    <row r="27" spans="1:42" ht="8.25" customHeight="1" x14ac:dyDescent="0.2">
      <c r="F27" s="21"/>
      <c r="G27" s="21"/>
      <c r="H27" s="21"/>
      <c r="I27" s="21"/>
      <c r="J27" s="21"/>
      <c r="K27" s="21"/>
      <c r="O27" s="21"/>
      <c r="Q27" s="67"/>
      <c r="S27" s="3"/>
      <c r="X27" s="21"/>
      <c r="Y27" s="21"/>
      <c r="Z27" s="21"/>
      <c r="AA27" s="21"/>
      <c r="AB27" s="21"/>
      <c r="AC27" s="21"/>
      <c r="AF27" s="21"/>
      <c r="AG27" s="21"/>
      <c r="AJ27" s="66"/>
      <c r="AK27" s="66"/>
      <c r="AL27" s="66"/>
      <c r="AM27" s="66"/>
      <c r="AN27" s="66"/>
      <c r="AO27" s="66"/>
      <c r="AP27" s="66"/>
    </row>
    <row r="28" spans="1:42" ht="6" customHeight="1" x14ac:dyDescent="0.2">
      <c r="F28" s="21"/>
      <c r="G28" s="21"/>
      <c r="H28" s="21"/>
      <c r="I28" s="21"/>
      <c r="J28" s="22"/>
      <c r="K28" s="22"/>
      <c r="O28" s="21"/>
      <c r="Q28" s="67"/>
      <c r="S28" s="3"/>
      <c r="X28" s="21"/>
      <c r="Y28" s="21"/>
      <c r="Z28" s="21"/>
      <c r="AA28" s="21"/>
      <c r="AB28" s="22"/>
      <c r="AC28" s="22"/>
      <c r="AF28" s="21"/>
      <c r="AG28" s="21"/>
      <c r="AJ28" s="66"/>
      <c r="AK28" s="66"/>
      <c r="AL28" s="66"/>
      <c r="AM28" s="66"/>
      <c r="AN28" s="66"/>
      <c r="AO28" s="66"/>
      <c r="AP28" s="66"/>
    </row>
    <row r="29" spans="1:42" ht="16.5" thickBot="1" x14ac:dyDescent="0.3">
      <c r="B29" s="1" t="s">
        <v>76</v>
      </c>
      <c r="F29" s="21"/>
      <c r="G29" s="21"/>
      <c r="H29" s="21"/>
      <c r="I29" s="21"/>
      <c r="J29" s="101">
        <f>SUM(J22:K27)</f>
        <v>0</v>
      </c>
      <c r="K29" s="101"/>
      <c r="L29" s="13" t="s">
        <v>42</v>
      </c>
      <c r="M29" s="9">
        <f>IF(SUM('Enrollment Input'!G15+'Enrollment Input'!G18+'Enrollment Input'!G19+'Enrollment Input'!G21)=0,0,IF(J29&gt;=14,LOOKUP(J29,criteria!$U$3:$U$10,criteria!$V$3:$V$10),0))</f>
        <v>0</v>
      </c>
      <c r="N29" s="11" t="s">
        <v>14</v>
      </c>
      <c r="O29" s="62">
        <f>IF(J29=0,0,IF(Q29&lt;LOOKUP(J29,criteria!$U$3:$U$10,criteria!$W$3:$W$10),LOOKUP(J29,criteria!$U$3:$U$10,criteria!$W$3:$W$10),Q29))</f>
        <v>0</v>
      </c>
      <c r="P29" t="str">
        <f>IF(O29=0," ",IF(O29=Q29," ","Minimum"))</f>
        <v xml:space="preserve"> </v>
      </c>
      <c r="Q29" s="67">
        <f>ROUND(IF(SUM('Enrollment Input'!G15+'Enrollment Input'!G18+'Enrollment Input'!G19+'Enrollment Input'!G21)=0,0,IF(M29=0,0,(J29/M29))),2)</f>
        <v>0</v>
      </c>
      <c r="S29" s="3"/>
      <c r="T29" s="1" t="s">
        <v>76</v>
      </c>
      <c r="X29" s="21"/>
      <c r="Y29" s="21"/>
      <c r="Z29" s="21"/>
      <c r="AA29" s="21"/>
      <c r="AB29" s="101">
        <f>SUM(AB22:AC27)</f>
        <v>0</v>
      </c>
      <c r="AC29" s="101"/>
      <c r="AD29" s="13" t="s">
        <v>42</v>
      </c>
      <c r="AE29" s="9">
        <f>IF(SUM('Enrollment Input'!G15+'Enrollment Input'!G18+'Enrollment Input'!G19+'Enrollment Input'!G21)=0,0,IF(AB29&gt;=14,LOOKUP(AB29,criteria!$U$3:$U$10,criteria!$V$3:$V$10),0))</f>
        <v>0</v>
      </c>
      <c r="AF29" s="22" t="s">
        <v>14</v>
      </c>
      <c r="AG29" s="62">
        <f>IF(AB29=0,0,IF(AI29&lt;LOOKUP(AB29,criteria!$U$3:$U$10,criteria!$W$3:$W$10),LOOKUP(AB29,criteria!$U$3:$U$10,criteria!$W$3:$W$10),AI29))</f>
        <v>0</v>
      </c>
      <c r="AH29" t="str">
        <f>IF(AG29=0," ",IF(AG29=AI29," ","Minimum"))</f>
        <v xml:space="preserve"> </v>
      </c>
      <c r="AI29" s="63">
        <f>ROUND(IF(SUM('Enrollment Input'!E15+'Enrollment Input'!E18+'Enrollment Input'!E19+'Enrollment Input'!E21)=0,0,IF(AE29=0,0,(AB29/AE29))),2)</f>
        <v>0</v>
      </c>
      <c r="AJ29" s="66"/>
      <c r="AK29" s="66"/>
      <c r="AL29" s="66"/>
      <c r="AM29" s="66"/>
      <c r="AN29" s="66"/>
      <c r="AO29" s="66"/>
      <c r="AP29" s="66"/>
    </row>
    <row r="30" spans="1:42" ht="21" customHeight="1" thickTop="1" x14ac:dyDescent="0.25">
      <c r="B30" s="23"/>
      <c r="C30" s="23"/>
      <c r="D30" s="23"/>
      <c r="E30" s="23"/>
      <c r="F30" s="23"/>
      <c r="G30" s="23"/>
      <c r="H30" s="23"/>
      <c r="J30" s="8"/>
      <c r="N30" s="11"/>
      <c r="O30" s="22"/>
      <c r="P30" s="1"/>
      <c r="Q30" s="67"/>
      <c r="S30" s="3"/>
      <c r="T30" s="1"/>
      <c r="AB30" s="22"/>
      <c r="AC30" s="22"/>
      <c r="AD30" s="13"/>
      <c r="AE30" s="12"/>
      <c r="AF30" s="22"/>
      <c r="AG30" s="22"/>
      <c r="AJ30" s="66"/>
      <c r="AK30" s="66"/>
      <c r="AL30" s="66"/>
      <c r="AM30" s="66"/>
      <c r="AN30" s="66"/>
      <c r="AO30" s="66"/>
      <c r="AP30" s="66"/>
    </row>
    <row r="31" spans="1:42" ht="19.5" customHeight="1" x14ac:dyDescent="0.25">
      <c r="A31" s="4" t="s">
        <v>85</v>
      </c>
      <c r="O31" s="21"/>
      <c r="Q31" s="67"/>
      <c r="S31" s="4" t="s">
        <v>85</v>
      </c>
      <c r="AF31" s="21"/>
      <c r="AG31" s="21"/>
      <c r="AJ31" s="66"/>
      <c r="AK31" s="66"/>
      <c r="AL31" s="66"/>
      <c r="AM31" s="66"/>
      <c r="AN31" s="66"/>
      <c r="AO31" s="66"/>
      <c r="AP31" s="66"/>
    </row>
    <row r="32" spans="1:42" ht="15.75" x14ac:dyDescent="0.25">
      <c r="B32" s="98" t="str">
        <f>IF('Enrollment Input'!G25=0," ","Alternative Secondary High School")</f>
        <v xml:space="preserve"> </v>
      </c>
      <c r="C32" s="98"/>
      <c r="D32" s="98"/>
      <c r="E32" s="98"/>
      <c r="F32" s="98"/>
      <c r="G32" s="98"/>
      <c r="J32" s="99">
        <f>'Enrollment Input'!G25</f>
        <v>0</v>
      </c>
      <c r="K32" s="99"/>
      <c r="L32" s="13" t="s">
        <v>42</v>
      </c>
      <c r="M32" s="9">
        <f>IF(J32=0,0,IF(Q32&lt;1,IF(M18&lt;12,12,M18),12))</f>
        <v>0</v>
      </c>
      <c r="N32" s="11" t="s">
        <v>14</v>
      </c>
      <c r="O32" s="62">
        <f>ROUND(IF(J32=0,0,J32/M32),2)</f>
        <v>0</v>
      </c>
      <c r="P32" s="5"/>
      <c r="Q32" s="67">
        <f>ROUND(IF(J32=0,0,J32/12),2)</f>
        <v>0</v>
      </c>
      <c r="R32" s="63"/>
      <c r="S32" s="3"/>
      <c r="T32" s="61" t="str">
        <f>IF('Enrollment Input'!G25=0," ","Alternative Secondary High School")</f>
        <v xml:space="preserve"> </v>
      </c>
      <c r="U32" s="61"/>
      <c r="V32" s="61"/>
      <c r="W32" s="61"/>
      <c r="X32" s="61"/>
      <c r="Y32" s="61"/>
      <c r="AB32" s="99">
        <f>'Enrollment Input'!G25</f>
        <v>0</v>
      </c>
      <c r="AC32" s="99"/>
      <c r="AD32" s="13" t="s">
        <v>42</v>
      </c>
      <c r="AE32" s="9">
        <f>IF(AB32=0,0,IF(AI32&lt;1,IF(AE18&lt;12,12,AE18),12))</f>
        <v>0</v>
      </c>
      <c r="AF32" s="22" t="s">
        <v>14</v>
      </c>
      <c r="AG32" s="62">
        <f>ROUND(IF(AB32=0,0,AB32/AE32),2)</f>
        <v>0</v>
      </c>
      <c r="AH32" s="5"/>
      <c r="AI32" s="63">
        <f>ROUND(IF(AB32=0,0,AB32/12),2)</f>
        <v>0</v>
      </c>
      <c r="AJ32" s="66"/>
      <c r="AK32" s="66"/>
      <c r="AL32" s="66"/>
      <c r="AM32" s="66"/>
      <c r="AN32" s="66"/>
      <c r="AO32" s="66"/>
      <c r="AP32" s="66"/>
    </row>
    <row r="33" spans="1:42" ht="11.25" customHeight="1" x14ac:dyDescent="0.2">
      <c r="J33" s="21"/>
      <c r="K33" s="21"/>
      <c r="O33" s="21"/>
      <c r="Q33" s="67"/>
      <c r="S33" s="3"/>
      <c r="AB33" s="21"/>
      <c r="AC33" s="21"/>
      <c r="AF33" s="21"/>
      <c r="AG33" s="21"/>
      <c r="AJ33" s="66"/>
      <c r="AK33" s="66"/>
      <c r="AL33" s="66"/>
      <c r="AM33" s="66"/>
      <c r="AN33" s="66"/>
      <c r="AO33" s="66"/>
      <c r="AP33" s="66"/>
    </row>
    <row r="34" spans="1:42" ht="11.25" customHeight="1" x14ac:dyDescent="0.25">
      <c r="B34" s="98" t="str">
        <f>IF('Enrollment Input'!E27=0," ","Summer Alternative Secondary High School")</f>
        <v xml:space="preserve"> </v>
      </c>
      <c r="C34" s="98"/>
      <c r="D34" s="98"/>
      <c r="E34" s="98"/>
      <c r="F34" s="98"/>
      <c r="G34" s="98"/>
      <c r="J34" s="99">
        <f>'Enrollment Input'!E27</f>
        <v>0</v>
      </c>
      <c r="K34" s="99"/>
      <c r="L34" s="13" t="s">
        <v>42</v>
      </c>
      <c r="M34" s="9">
        <f>IF(J34=0,0,40)</f>
        <v>0</v>
      </c>
      <c r="N34" s="11" t="s">
        <v>14</v>
      </c>
      <c r="O34" s="62">
        <f>ROUND(IF(J34=0,0,J34/M34),2)</f>
        <v>0</v>
      </c>
      <c r="P34" s="5"/>
      <c r="Q34" s="67"/>
      <c r="S34" s="3"/>
      <c r="T34" s="98" t="str">
        <f>IF('Enrollment Input'!E27=0," ","Summer Alternative Secondary High School")</f>
        <v xml:space="preserve"> </v>
      </c>
      <c r="U34" s="98"/>
      <c r="V34" s="98"/>
      <c r="W34" s="98"/>
      <c r="X34" s="98"/>
      <c r="Y34" s="98"/>
      <c r="AB34" s="99">
        <f>'Enrollment Input'!E27</f>
        <v>0</v>
      </c>
      <c r="AC34" s="99"/>
      <c r="AD34" s="13" t="s">
        <v>42</v>
      </c>
      <c r="AE34" s="9">
        <f>IF(AB34=0,0,40)</f>
        <v>0</v>
      </c>
      <c r="AF34" s="22" t="s">
        <v>14</v>
      </c>
      <c r="AG34" s="62">
        <f>ROUND(IF(AB34=0,0,AB34/AE34),2)</f>
        <v>0</v>
      </c>
      <c r="AH34" s="5"/>
      <c r="AJ34" s="66"/>
      <c r="AK34" s="66"/>
      <c r="AL34" s="66"/>
      <c r="AM34" s="66"/>
      <c r="AN34" s="66"/>
      <c r="AO34" s="66"/>
      <c r="AP34" s="66"/>
    </row>
    <row r="35" spans="1:42" ht="13.5" customHeight="1" x14ac:dyDescent="0.25">
      <c r="J35" s="12"/>
      <c r="K35" s="12"/>
      <c r="L35" s="13"/>
      <c r="M35" s="12"/>
      <c r="N35" s="11"/>
      <c r="O35" s="12"/>
      <c r="P35" s="1"/>
      <c r="Q35" s="67"/>
      <c r="S35" s="3"/>
      <c r="AB35" s="12"/>
      <c r="AC35" s="12"/>
      <c r="AD35" s="13"/>
      <c r="AE35" s="12"/>
      <c r="AF35" s="22"/>
      <c r="AG35" s="22"/>
      <c r="AH35" s="1"/>
      <c r="AJ35" s="66"/>
      <c r="AK35" s="66"/>
      <c r="AL35" s="66"/>
      <c r="AM35" s="66"/>
      <c r="AN35" s="66"/>
      <c r="AO35" s="66"/>
      <c r="AP35" s="66"/>
    </row>
    <row r="36" spans="1:42" ht="18.75" customHeight="1" thickBot="1" x14ac:dyDescent="0.25">
      <c r="A36" s="5"/>
      <c r="B36" s="8" t="s">
        <v>105</v>
      </c>
      <c r="C36" s="1"/>
      <c r="D36" s="1"/>
      <c r="E36" s="1"/>
      <c r="F36" s="1"/>
      <c r="G36" s="1"/>
      <c r="H36" s="1"/>
      <c r="I36" s="1"/>
      <c r="J36" s="1"/>
      <c r="K36" s="1"/>
      <c r="M36" s="12" t="s">
        <v>14</v>
      </c>
      <c r="N36" s="105">
        <f>ROUND(IF(SUM(O7:O34)=0,0,SUM(O7:O34)),2)</f>
        <v>0</v>
      </c>
      <c r="O36" s="105"/>
      <c r="Q36" s="67"/>
      <c r="S36" s="5"/>
      <c r="T36" s="8" t="s">
        <v>105</v>
      </c>
      <c r="U36" s="1"/>
      <c r="V36" s="1"/>
      <c r="W36" s="1"/>
      <c r="X36" s="1"/>
      <c r="Y36" s="1"/>
      <c r="Z36" s="1"/>
      <c r="AA36" s="1"/>
      <c r="AB36" s="1"/>
      <c r="AC36" s="1"/>
      <c r="AE36" s="12" t="s">
        <v>14</v>
      </c>
      <c r="AF36" s="105">
        <f>ROUND(IF(SUM(AG7:AG34)=0,0,SUM(AG7:AG34)),2)</f>
        <v>0</v>
      </c>
      <c r="AG36" s="105"/>
      <c r="AJ36" s="66"/>
      <c r="AK36" s="66"/>
      <c r="AL36" s="66"/>
      <c r="AM36" s="66"/>
      <c r="AN36" s="66"/>
      <c r="AO36" s="66"/>
      <c r="AP36" s="66"/>
    </row>
    <row r="37" spans="1:42" ht="13.5" thickTop="1" x14ac:dyDescent="0.2">
      <c r="M37" s="103" t="str">
        <f>IF(N36=0," ",IF(N36&lt;AF36,"Do Not Use this Calculation","Use this Calculation"))</f>
        <v xml:space="preserve"> </v>
      </c>
      <c r="N37" s="103"/>
      <c r="O37" s="103"/>
      <c r="P37" s="103"/>
      <c r="Q37" s="67"/>
      <c r="S37" s="3"/>
      <c r="AE37" s="103" t="str">
        <f>IF(AF36=0," ",IF(AF36&lt;N36,"Do Not Use this Calculation","Use this Calculation"))</f>
        <v xml:space="preserve"> </v>
      </c>
      <c r="AF37" s="104"/>
      <c r="AG37" s="104"/>
      <c r="AH37" s="104"/>
    </row>
    <row r="38" spans="1:42" x14ac:dyDescent="0.2">
      <c r="Q38" s="66"/>
    </row>
    <row r="39" spans="1:42" hidden="1" x14ac:dyDescent="0.2">
      <c r="Q39" s="66"/>
    </row>
    <row r="40" spans="1:42" hidden="1" x14ac:dyDescent="0.2">
      <c r="Q40" s="66"/>
    </row>
    <row r="41" spans="1:42" hidden="1" x14ac:dyDescent="0.2">
      <c r="Q41" s="66"/>
    </row>
    <row r="42" spans="1:42" hidden="1" x14ac:dyDescent="0.2">
      <c r="Q42" s="66"/>
    </row>
    <row r="43" spans="1:42" hidden="1" x14ac:dyDescent="0.2">
      <c r="Q43" s="66"/>
    </row>
    <row r="44" spans="1:42" hidden="1" x14ac:dyDescent="0.2">
      <c r="Q44" s="66"/>
    </row>
  </sheetData>
  <sheetProtection algorithmName="SHA-512" hashValue="MndIeUC3Uw6NKRxoITRTHRP4BIJVL7Bgs3OY26qz3MWXt5ITx4vOj5aikpJcKVjCx7i2ZE7o8f9G39Iyecd57g==" saltValue="ny33f9/eq2NJbenRTsh6yQ==" spinCount="100000" sheet="1" objects="1" scenarios="1"/>
  <mergeCells count="37">
    <mergeCell ref="N36:O36"/>
    <mergeCell ref="AF36:AG36"/>
    <mergeCell ref="M37:P37"/>
    <mergeCell ref="AE37:AH37"/>
    <mergeCell ref="J29:K29"/>
    <mergeCell ref="AB29:AC29"/>
    <mergeCell ref="B32:G32"/>
    <mergeCell ref="J32:K32"/>
    <mergeCell ref="AB32:AC32"/>
    <mergeCell ref="B34:G34"/>
    <mergeCell ref="J34:K34"/>
    <mergeCell ref="T34:Y34"/>
    <mergeCell ref="AB34:AC34"/>
    <mergeCell ref="J22:K22"/>
    <mergeCell ref="AB22:AC22"/>
    <mergeCell ref="J24:K24"/>
    <mergeCell ref="AB24:AC24"/>
    <mergeCell ref="J26:K26"/>
    <mergeCell ref="AB26:AC26"/>
    <mergeCell ref="J13:K13"/>
    <mergeCell ref="AB13:AC13"/>
    <mergeCell ref="J16:K16"/>
    <mergeCell ref="AB16:AC16"/>
    <mergeCell ref="J18:K18"/>
    <mergeCell ref="AB18:AC18"/>
    <mergeCell ref="J5:K5"/>
    <mergeCell ref="AB5:AC5"/>
    <mergeCell ref="J7:K7"/>
    <mergeCell ref="AB7:AC7"/>
    <mergeCell ref="J11:K11"/>
    <mergeCell ref="AB11:AC11"/>
    <mergeCell ref="A1:O1"/>
    <mergeCell ref="S1:AG1"/>
    <mergeCell ref="A2:O2"/>
    <mergeCell ref="S2:AG2"/>
    <mergeCell ref="A3:O3"/>
    <mergeCell ref="S3:AG3"/>
  </mergeCells>
  <pageMargins left="0.5" right="0.5" top="0.5" bottom="0.5" header="0.25" footer="0.25"/>
  <pageSetup scale="81"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8"/>
  <sheetViews>
    <sheetView showGridLines="0" zoomScaleNormal="100" workbookViewId="0"/>
  </sheetViews>
  <sheetFormatPr defaultColWidth="0" defaultRowHeight="12.75" zeroHeight="1" x14ac:dyDescent="0.2"/>
  <cols>
    <col min="1" max="1" width="6" style="3" customWidth="1"/>
    <col min="2" max="5" width="9.140625" customWidth="1"/>
    <col min="6" max="6" width="17.140625" customWidth="1"/>
    <col min="7" max="7" width="2.7109375" style="3" customWidth="1"/>
    <col min="8" max="9" width="9.140625" customWidth="1"/>
    <col min="10" max="10" width="6.5703125" customWidth="1"/>
    <col min="11" max="11" width="10.28515625" bestFit="1" customWidth="1"/>
    <col min="12" max="12" width="9.140625" customWidth="1"/>
    <col min="13" max="16384" width="9.140625" hidden="1"/>
  </cols>
  <sheetData>
    <row r="1" spans="1:11" ht="15.75" x14ac:dyDescent="0.25">
      <c r="I1" s="2"/>
      <c r="K1" s="2"/>
    </row>
    <row r="2" spans="1:11" x14ac:dyDescent="0.2"/>
    <row r="3" spans="1:11" ht="15.75" x14ac:dyDescent="0.2">
      <c r="A3" s="100" t="s">
        <v>80</v>
      </c>
      <c r="B3" s="100"/>
      <c r="C3" s="100"/>
      <c r="D3" s="100"/>
      <c r="E3" s="100"/>
      <c r="F3" s="100"/>
      <c r="G3" s="100"/>
      <c r="H3" s="100"/>
      <c r="I3" s="100"/>
      <c r="J3" s="106"/>
      <c r="K3" s="106"/>
    </row>
    <row r="4" spans="1:11" x14ac:dyDescent="0.2"/>
    <row r="5" spans="1:11" ht="15.75" x14ac:dyDescent="0.2">
      <c r="A5" s="100" t="s">
        <v>0</v>
      </c>
      <c r="B5" s="100"/>
      <c r="C5" s="100"/>
      <c r="D5" s="100"/>
      <c r="E5" s="100"/>
      <c r="F5" s="100"/>
      <c r="G5" s="100"/>
      <c r="H5" s="100"/>
      <c r="I5" s="100"/>
      <c r="J5" s="107"/>
      <c r="K5" s="106"/>
    </row>
    <row r="6" spans="1:11" x14ac:dyDescent="0.2">
      <c r="K6" t="s">
        <v>15</v>
      </c>
    </row>
    <row r="7" spans="1:11" x14ac:dyDescent="0.2">
      <c r="K7" t="s">
        <v>16</v>
      </c>
    </row>
    <row r="8" spans="1:11" ht="15.75" x14ac:dyDescent="0.25">
      <c r="A8" s="4" t="s">
        <v>1</v>
      </c>
    </row>
    <row r="9" spans="1:11" ht="8.25" customHeight="1" x14ac:dyDescent="0.25">
      <c r="A9" s="4"/>
    </row>
    <row r="10" spans="1:11" ht="15" x14ac:dyDescent="0.2">
      <c r="A10" s="5" t="s">
        <v>2</v>
      </c>
      <c r="B10" s="1" t="s">
        <v>81</v>
      </c>
      <c r="C10" s="1"/>
      <c r="D10" s="1"/>
      <c r="E10" s="1"/>
      <c r="F10" s="1"/>
      <c r="G10" s="5" t="s">
        <v>14</v>
      </c>
      <c r="H10" s="108">
        <f>IF('Enrollment Input'!C15+'Enrollment Input'!C18=0,0,SUM('Enrollment Input'!C15+'Enrollment Input'!C18))</f>
        <v>0</v>
      </c>
      <c r="I10" s="108"/>
      <c r="J10" s="1"/>
      <c r="K10" s="15">
        <f>IF(H10=0,0,(H10/($H$10+$H$13)))</f>
        <v>0</v>
      </c>
    </row>
    <row r="11" spans="1:11" ht="7.5" customHeight="1" x14ac:dyDescent="0.2">
      <c r="H11" s="16"/>
      <c r="I11" s="16"/>
    </row>
    <row r="12" spans="1:11" s="1" customFormat="1" ht="15" x14ac:dyDescent="0.2">
      <c r="A12" s="5" t="s">
        <v>3</v>
      </c>
      <c r="B12" s="1" t="s">
        <v>82</v>
      </c>
      <c r="G12" s="5"/>
      <c r="H12" s="17"/>
      <c r="I12" s="17"/>
    </row>
    <row r="13" spans="1:11" ht="15" x14ac:dyDescent="0.2">
      <c r="B13" s="6" t="s">
        <v>4</v>
      </c>
      <c r="G13" s="3" t="s">
        <v>14</v>
      </c>
      <c r="H13" s="108">
        <f>IF('Enrollment Input'!C19=0,0,SUM('Enrollment Input'!C19))</f>
        <v>0</v>
      </c>
      <c r="I13" s="108"/>
      <c r="K13" s="15">
        <f>IF(H13=0,0,(H13/($H$10+$H$13)))</f>
        <v>0</v>
      </c>
    </row>
    <row r="14" spans="1:11" ht="6.75" customHeight="1" x14ac:dyDescent="0.2">
      <c r="H14" s="16"/>
      <c r="I14" s="16"/>
    </row>
    <row r="15" spans="1:11" s="1" customFormat="1" ht="15" x14ac:dyDescent="0.2">
      <c r="A15" s="5" t="s">
        <v>5</v>
      </c>
      <c r="B15" s="1" t="s">
        <v>6</v>
      </c>
      <c r="G15" s="5"/>
      <c r="H15" s="17"/>
      <c r="I15" s="17"/>
    </row>
    <row r="16" spans="1:11" s="1" customFormat="1" ht="15" x14ac:dyDescent="0.2">
      <c r="A16" s="5"/>
      <c r="B16" s="1" t="s">
        <v>7</v>
      </c>
      <c r="G16" s="5" t="s">
        <v>14</v>
      </c>
      <c r="H16" s="109">
        <f>IF('Enrollment Input'!C35=0,0,SUM('Enrollment Input'!C35))</f>
        <v>0</v>
      </c>
      <c r="I16" s="109"/>
    </row>
    <row r="17" spans="1:9" ht="6.75" customHeight="1" x14ac:dyDescent="0.2">
      <c r="H17" s="16"/>
      <c r="I17" s="16"/>
    </row>
    <row r="18" spans="1:9" s="1" customFormat="1" ht="15" x14ac:dyDescent="0.2">
      <c r="A18" s="5" t="s">
        <v>8</v>
      </c>
      <c r="B18" s="1" t="s">
        <v>9</v>
      </c>
      <c r="G18" s="5" t="s">
        <v>14</v>
      </c>
      <c r="H18" s="108">
        <f>H10+H13-H16</f>
        <v>0</v>
      </c>
      <c r="I18" s="108"/>
    </row>
    <row r="19" spans="1:9" ht="6.75" customHeight="1" x14ac:dyDescent="0.2">
      <c r="H19" s="21"/>
      <c r="I19" s="21"/>
    </row>
    <row r="20" spans="1:9" s="1" customFormat="1" ht="15" x14ac:dyDescent="0.2">
      <c r="A20" s="5" t="s">
        <v>10</v>
      </c>
      <c r="B20" s="1" t="s">
        <v>11</v>
      </c>
      <c r="G20" s="5" t="s">
        <v>14</v>
      </c>
      <c r="H20" s="108">
        <f>H18*0.06</f>
        <v>0</v>
      </c>
      <c r="I20" s="108"/>
    </row>
    <row r="21" spans="1:9" ht="6.75" customHeight="1" x14ac:dyDescent="0.2">
      <c r="H21" s="21"/>
      <c r="I21" s="21"/>
    </row>
    <row r="22" spans="1:9" s="1" customFormat="1" ht="15" x14ac:dyDescent="0.2">
      <c r="A22" s="5" t="s">
        <v>12</v>
      </c>
      <c r="B22" s="1" t="s">
        <v>43</v>
      </c>
      <c r="G22" s="5" t="s">
        <v>14</v>
      </c>
      <c r="H22" s="108">
        <f>H16+H20</f>
        <v>0</v>
      </c>
      <c r="I22" s="108"/>
    </row>
    <row r="23" spans="1:9" s="1" customFormat="1" ht="15" x14ac:dyDescent="0.2">
      <c r="A23" s="5"/>
      <c r="B23" s="1" t="s">
        <v>13</v>
      </c>
      <c r="G23" s="5"/>
      <c r="H23" s="17"/>
      <c r="I23" s="17"/>
    </row>
    <row r="24" spans="1:9" s="1" customFormat="1" ht="15" x14ac:dyDescent="0.2">
      <c r="A24" s="5"/>
      <c r="G24" s="5"/>
      <c r="H24" s="17"/>
      <c r="I24" s="17"/>
    </row>
    <row r="25" spans="1:9" s="1" customFormat="1" ht="15" x14ac:dyDescent="0.2">
      <c r="A25" s="5" t="s">
        <v>52</v>
      </c>
      <c r="B25" s="18">
        <f>K10</f>
        <v>0</v>
      </c>
      <c r="C25" s="19" t="s">
        <v>50</v>
      </c>
      <c r="D25" s="20">
        <f>H22</f>
        <v>0</v>
      </c>
      <c r="E25" s="1" t="s">
        <v>51</v>
      </c>
      <c r="G25" s="5" t="s">
        <v>14</v>
      </c>
      <c r="H25" s="108">
        <f>ROUND(SUM(B25*D25),2)</f>
        <v>0</v>
      </c>
      <c r="I25" s="108"/>
    </row>
    <row r="26" spans="1:9" s="1" customFormat="1" ht="15" x14ac:dyDescent="0.2">
      <c r="A26" s="5" t="s">
        <v>53</v>
      </c>
      <c r="B26" s="18">
        <f>K13</f>
        <v>0</v>
      </c>
      <c r="C26" s="19" t="s">
        <v>50</v>
      </c>
      <c r="D26" s="20">
        <f>H22</f>
        <v>0</v>
      </c>
      <c r="E26" s="1" t="s">
        <v>49</v>
      </c>
      <c r="G26" s="5" t="s">
        <v>14</v>
      </c>
      <c r="H26" s="110">
        <f>ROUND(SUM(H22-H25),2)</f>
        <v>0</v>
      </c>
      <c r="I26" s="110"/>
    </row>
    <row r="27" spans="1:9" s="1" customFormat="1" ht="15" x14ac:dyDescent="0.2">
      <c r="A27" s="5"/>
      <c r="G27" s="5"/>
      <c r="H27" s="17"/>
      <c r="I27" s="17"/>
    </row>
    <row r="28" spans="1:9" ht="15.75" x14ac:dyDescent="0.25">
      <c r="A28" s="4" t="s">
        <v>17</v>
      </c>
      <c r="H28" s="16"/>
      <c r="I28" s="16"/>
    </row>
    <row r="29" spans="1:9" ht="6.75" customHeight="1" x14ac:dyDescent="0.2">
      <c r="H29" s="16"/>
      <c r="I29" s="16"/>
    </row>
    <row r="30" spans="1:9" s="1" customFormat="1" ht="15" x14ac:dyDescent="0.2">
      <c r="A30" s="5" t="s">
        <v>18</v>
      </c>
      <c r="B30" s="1" t="s">
        <v>83</v>
      </c>
      <c r="G30" s="5"/>
      <c r="H30" s="17"/>
      <c r="I30" s="17"/>
    </row>
    <row r="31" spans="1:9" s="1" customFormat="1" ht="15" x14ac:dyDescent="0.2">
      <c r="A31" s="5"/>
      <c r="B31" s="1" t="s">
        <v>19</v>
      </c>
      <c r="G31" s="5" t="s">
        <v>14</v>
      </c>
      <c r="H31" s="108">
        <f>IF('Enrollment Input'!$C$21=0,0,'Enrollment Input'!C21)</f>
        <v>0</v>
      </c>
      <c r="I31" s="108"/>
    </row>
    <row r="32" spans="1:9" s="1" customFormat="1" ht="15" x14ac:dyDescent="0.2">
      <c r="A32" s="5"/>
      <c r="B32" s="6" t="s">
        <v>20</v>
      </c>
      <c r="G32" s="5"/>
      <c r="H32" s="17"/>
      <c r="I32" s="17"/>
    </row>
    <row r="33" spans="1:9" s="1" customFormat="1" ht="15" x14ac:dyDescent="0.2">
      <c r="A33" s="5"/>
      <c r="B33" s="6" t="s">
        <v>21</v>
      </c>
      <c r="G33" s="5"/>
      <c r="H33" s="17"/>
      <c r="I33" s="17"/>
    </row>
    <row r="34" spans="1:9" ht="6.75" customHeight="1" x14ac:dyDescent="0.2">
      <c r="H34" s="16"/>
      <c r="I34" s="16"/>
    </row>
    <row r="35" spans="1:9" s="1" customFormat="1" ht="15" x14ac:dyDescent="0.2">
      <c r="A35" s="5" t="s">
        <v>22</v>
      </c>
      <c r="B35" s="1" t="s">
        <v>122</v>
      </c>
      <c r="G35" s="5"/>
      <c r="H35" s="17"/>
      <c r="I35" s="17"/>
    </row>
    <row r="36" spans="1:9" s="1" customFormat="1" ht="15" x14ac:dyDescent="0.2">
      <c r="A36" s="5"/>
      <c r="B36" s="1" t="s">
        <v>44</v>
      </c>
      <c r="G36" s="5"/>
      <c r="H36" s="17"/>
      <c r="I36" s="17"/>
    </row>
    <row r="37" spans="1:9" s="1" customFormat="1" ht="15" x14ac:dyDescent="0.2">
      <c r="A37" s="5"/>
      <c r="B37" s="6" t="s">
        <v>23</v>
      </c>
      <c r="G37" s="5" t="s">
        <v>14</v>
      </c>
      <c r="H37" s="108">
        <f>IF('Enrollment Input'!C36=0,0,SUM('Enrollment Input'!C36))</f>
        <v>0</v>
      </c>
      <c r="I37" s="108"/>
    </row>
    <row r="38" spans="1:9" ht="6.75" customHeight="1" x14ac:dyDescent="0.2">
      <c r="H38" s="21"/>
      <c r="I38" s="21"/>
    </row>
    <row r="39" spans="1:9" s="1" customFormat="1" ht="15" x14ac:dyDescent="0.2">
      <c r="A39" s="5" t="s">
        <v>24</v>
      </c>
      <c r="B39" s="1" t="s">
        <v>25</v>
      </c>
      <c r="G39" s="5" t="s">
        <v>14</v>
      </c>
      <c r="H39" s="108">
        <f>IF('Enrollment Input'!$C$21=0,0,SUM(H31-H37))</f>
        <v>0</v>
      </c>
      <c r="I39" s="108"/>
    </row>
    <row r="40" spans="1:9" ht="6.75" customHeight="1" x14ac:dyDescent="0.2">
      <c r="H40" s="21"/>
      <c r="I40" s="21"/>
    </row>
    <row r="41" spans="1:9" s="1" customFormat="1" ht="15" x14ac:dyDescent="0.2">
      <c r="A41" s="5" t="s">
        <v>26</v>
      </c>
      <c r="B41" s="1" t="s">
        <v>27</v>
      </c>
      <c r="G41" s="5" t="s">
        <v>14</v>
      </c>
      <c r="H41" s="108">
        <f>IF('Enrollment Input'!$C$21=0,0,H39*0.055)</f>
        <v>0</v>
      </c>
      <c r="I41" s="108"/>
    </row>
    <row r="42" spans="1:9" ht="6.75" customHeight="1" x14ac:dyDescent="0.2">
      <c r="H42" s="21"/>
      <c r="I42" s="21"/>
    </row>
    <row r="43" spans="1:9" s="1" customFormat="1" ht="15" x14ac:dyDescent="0.2">
      <c r="A43" s="5" t="s">
        <v>28</v>
      </c>
      <c r="B43" s="1" t="s">
        <v>29</v>
      </c>
      <c r="G43" s="5" t="s">
        <v>14</v>
      </c>
      <c r="H43" s="108">
        <f>ROUND(IF('Enrollment Input'!$C$21=0,0,SUM(H37+H41)),2)</f>
        <v>0</v>
      </c>
      <c r="I43" s="108"/>
    </row>
    <row r="44" spans="1:9" s="1" customFormat="1" ht="15" x14ac:dyDescent="0.2">
      <c r="A44" s="5"/>
      <c r="B44" s="1" t="s">
        <v>30</v>
      </c>
      <c r="G44" s="5"/>
    </row>
    <row r="45" spans="1:9" x14ac:dyDescent="0.2"/>
    <row r="46" spans="1:9" ht="15.75" x14ac:dyDescent="0.25">
      <c r="A46" s="4" t="s">
        <v>31</v>
      </c>
    </row>
    <row r="47" spans="1:9" ht="6.75" customHeight="1" x14ac:dyDescent="0.2"/>
    <row r="48" spans="1:9" s="1" customFormat="1" ht="15" x14ac:dyDescent="0.2">
      <c r="A48" s="5" t="s">
        <v>32</v>
      </c>
      <c r="B48" s="1" t="s">
        <v>84</v>
      </c>
      <c r="G48" s="5"/>
    </row>
    <row r="49" spans="1:9" s="1" customFormat="1" ht="15" x14ac:dyDescent="0.2">
      <c r="A49" s="5"/>
      <c r="B49" s="1" t="s">
        <v>45</v>
      </c>
      <c r="G49" s="5"/>
    </row>
    <row r="50" spans="1:9" s="1" customFormat="1" ht="15" x14ac:dyDescent="0.2">
      <c r="A50" s="5"/>
      <c r="B50" s="1" t="s">
        <v>77</v>
      </c>
      <c r="G50" s="5"/>
    </row>
    <row r="51" spans="1:9" s="1" customFormat="1" ht="15" x14ac:dyDescent="0.2">
      <c r="A51" s="5"/>
      <c r="B51" s="1" t="s">
        <v>46</v>
      </c>
      <c r="G51" s="5"/>
    </row>
    <row r="52" spans="1:9" s="1" customFormat="1" ht="15" x14ac:dyDescent="0.2">
      <c r="A52" s="5"/>
      <c r="B52" s="1" t="s">
        <v>33</v>
      </c>
      <c r="G52" s="5"/>
    </row>
    <row r="53" spans="1:9" s="1" customFormat="1" ht="15" x14ac:dyDescent="0.2">
      <c r="A53" s="5"/>
      <c r="B53" s="1" t="s">
        <v>34</v>
      </c>
      <c r="G53" s="5"/>
    </row>
    <row r="54" spans="1:9" ht="6.75" customHeight="1" x14ac:dyDescent="0.2"/>
    <row r="55" spans="1:9" s="1" customFormat="1" ht="15" x14ac:dyDescent="0.2">
      <c r="A55" s="5"/>
      <c r="B55" s="1" t="s">
        <v>35</v>
      </c>
      <c r="G55" s="5" t="s">
        <v>14</v>
      </c>
      <c r="H55" s="109">
        <f>IF('Enrollment Input'!$C$30+'Enrollment Input'!$C$32=0,0,IF('Enrollment Input'!C32&gt;16,('Enrollment Input'!C30*16)/16,SUM(('Enrollment Input'!C30*'Enrollment Input'!C32)/16)))</f>
        <v>0</v>
      </c>
      <c r="I55" s="109"/>
    </row>
    <row r="56" spans="1:9" s="1" customFormat="1" ht="15" x14ac:dyDescent="0.2">
      <c r="A56" s="5"/>
      <c r="B56" s="1" t="s">
        <v>36</v>
      </c>
      <c r="G56" s="5"/>
    </row>
    <row r="57" spans="1:9" s="1" customFormat="1" ht="15" x14ac:dyDescent="0.2">
      <c r="A57" s="5"/>
      <c r="B57" s="1" t="s">
        <v>37</v>
      </c>
      <c r="G57" s="5"/>
    </row>
    <row r="58" spans="1:9" x14ac:dyDescent="0.2"/>
  </sheetData>
  <sheetProtection algorithmName="SHA-512" hashValue="KRbQEpoCb/BtC8LD+NKOmInAqGhjPAn5F3B02YGV/BECnRzz+46xpMFK6XXpn/b+4vDB0Vl6RfSIMtAzcZXF/Q==" saltValue="6qsFFHZuTbHDq6zivURatg=="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5" right="0.5" top="0.63" bottom="1" header="0.33" footer="0.5"/>
  <pageSetup scale="93" orientation="portrait"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1"/>
  <sheetViews>
    <sheetView workbookViewId="0">
      <selection activeCell="A12" sqref="A12"/>
    </sheetView>
  </sheetViews>
  <sheetFormatPr defaultRowHeight="12.75" x14ac:dyDescent="0.2"/>
  <cols>
    <col min="1" max="1" width="4.5703125" style="6" customWidth="1"/>
    <col min="2" max="3" width="6.85546875" style="6" customWidth="1"/>
    <col min="4" max="4" width="3.140625" style="6" customWidth="1"/>
    <col min="5" max="5" width="4.28515625" style="6" customWidth="1"/>
    <col min="6" max="6" width="5.42578125" style="6" customWidth="1"/>
    <col min="7" max="7" width="7.7109375" style="6" customWidth="1"/>
    <col min="8" max="8" width="5.140625" style="6" customWidth="1"/>
    <col min="9" max="9" width="7" style="6" customWidth="1"/>
    <col min="10" max="10" width="5.28515625" style="6" customWidth="1"/>
    <col min="11" max="11" width="7" style="6" customWidth="1"/>
    <col min="12" max="12" width="4.140625" style="6" customWidth="1"/>
    <col min="13" max="13" width="6.7109375" style="6" customWidth="1"/>
    <col min="14" max="14" width="5.42578125" style="6" customWidth="1"/>
    <col min="15" max="15" width="7" style="6" customWidth="1"/>
    <col min="16" max="16" width="5.140625" style="6" customWidth="1"/>
    <col min="17" max="17" width="4.85546875" style="6" customWidth="1"/>
    <col min="18" max="18" width="5.85546875" style="6" customWidth="1"/>
    <col min="19" max="19" width="7.42578125" style="6" customWidth="1"/>
    <col min="20" max="20" width="4" style="6" customWidth="1"/>
    <col min="21" max="21" width="6.42578125" style="6" customWidth="1"/>
    <col min="22" max="22" width="5.85546875" style="6" customWidth="1"/>
    <col min="23" max="23" width="6.7109375" style="6" customWidth="1"/>
    <col min="24" max="24" width="4.140625" style="6" customWidth="1"/>
    <col min="25" max="25" width="7.140625" style="6" customWidth="1"/>
    <col min="26" max="16384" width="9.140625" style="6"/>
  </cols>
  <sheetData>
    <row r="1" spans="1:27" x14ac:dyDescent="0.2">
      <c r="A1" s="6" t="s">
        <v>54</v>
      </c>
      <c r="E1" s="6" t="s">
        <v>56</v>
      </c>
      <c r="I1" s="6" t="s">
        <v>58</v>
      </c>
      <c r="M1" s="6" t="s">
        <v>60</v>
      </c>
      <c r="Q1" s="6" t="s">
        <v>17</v>
      </c>
      <c r="U1" s="6" t="s">
        <v>59</v>
      </c>
      <c r="Y1" s="6" t="s">
        <v>61</v>
      </c>
    </row>
    <row r="2" spans="1:27" x14ac:dyDescent="0.2">
      <c r="A2" s="68" t="s">
        <v>55</v>
      </c>
      <c r="B2" s="68" t="s">
        <v>57</v>
      </c>
      <c r="C2" s="68" t="s">
        <v>64</v>
      </c>
      <c r="E2" s="68" t="s">
        <v>55</v>
      </c>
      <c r="F2" s="68" t="s">
        <v>57</v>
      </c>
      <c r="G2" s="68" t="s">
        <v>64</v>
      </c>
      <c r="I2" s="68" t="s">
        <v>55</v>
      </c>
      <c r="J2" s="68" t="s">
        <v>57</v>
      </c>
      <c r="K2" s="68" t="s">
        <v>64</v>
      </c>
      <c r="M2" s="68" t="s">
        <v>55</v>
      </c>
      <c r="N2" s="68" t="s">
        <v>57</v>
      </c>
      <c r="O2" s="68" t="s">
        <v>64</v>
      </c>
      <c r="P2" s="68"/>
      <c r="Q2" s="68" t="s">
        <v>55</v>
      </c>
      <c r="R2" s="68" t="s">
        <v>57</v>
      </c>
      <c r="S2" s="68" t="s">
        <v>64</v>
      </c>
      <c r="U2" s="68" t="s">
        <v>55</v>
      </c>
      <c r="V2" s="68" t="s">
        <v>57</v>
      </c>
      <c r="W2" s="68" t="s">
        <v>64</v>
      </c>
      <c r="Y2" s="68" t="s">
        <v>62</v>
      </c>
      <c r="Z2" s="68" t="s">
        <v>63</v>
      </c>
      <c r="AA2" s="68" t="s">
        <v>64</v>
      </c>
    </row>
    <row r="3" spans="1:27" x14ac:dyDescent="0.2">
      <c r="A3" s="69">
        <v>0</v>
      </c>
      <c r="B3" s="69">
        <v>0</v>
      </c>
      <c r="C3" s="69">
        <v>0</v>
      </c>
      <c r="E3" s="69">
        <v>0</v>
      </c>
      <c r="F3" s="69">
        <v>0</v>
      </c>
      <c r="G3" s="69">
        <v>0</v>
      </c>
      <c r="I3" s="69">
        <v>0</v>
      </c>
      <c r="J3" s="69">
        <v>0</v>
      </c>
      <c r="K3" s="69">
        <v>0</v>
      </c>
      <c r="M3" s="69">
        <v>0</v>
      </c>
      <c r="N3" s="69">
        <v>0</v>
      </c>
      <c r="O3" s="69">
        <v>0</v>
      </c>
      <c r="P3" s="68"/>
      <c r="Q3" s="69">
        <v>0</v>
      </c>
      <c r="R3" s="69">
        <v>0</v>
      </c>
      <c r="S3" s="69">
        <v>0</v>
      </c>
      <c r="U3" s="69">
        <v>0</v>
      </c>
      <c r="V3" s="69">
        <v>0</v>
      </c>
      <c r="W3" s="69">
        <v>0</v>
      </c>
      <c r="Y3" s="69">
        <v>8</v>
      </c>
      <c r="Z3" s="69">
        <v>16</v>
      </c>
      <c r="AA3" s="69">
        <v>0</v>
      </c>
    </row>
    <row r="4" spans="1:27" x14ac:dyDescent="0.2">
      <c r="A4" s="6">
        <v>1</v>
      </c>
      <c r="B4" s="6">
        <v>0</v>
      </c>
      <c r="C4" s="6">
        <v>0</v>
      </c>
      <c r="E4" s="6">
        <v>1</v>
      </c>
      <c r="F4" s="6">
        <v>12</v>
      </c>
      <c r="G4" s="6">
        <v>1</v>
      </c>
      <c r="I4" s="6">
        <v>1</v>
      </c>
      <c r="J4" s="6">
        <v>12</v>
      </c>
      <c r="K4" s="6">
        <v>1</v>
      </c>
      <c r="M4" s="6">
        <v>1</v>
      </c>
      <c r="N4" s="6">
        <v>12</v>
      </c>
      <c r="O4" s="6">
        <v>1</v>
      </c>
      <c r="Q4" s="6">
        <v>1</v>
      </c>
      <c r="R4" s="6">
        <v>12</v>
      </c>
      <c r="S4" s="6">
        <v>0</v>
      </c>
      <c r="U4" s="6">
        <v>1</v>
      </c>
      <c r="V4" s="6">
        <v>14.5</v>
      </c>
      <c r="W4" s="6">
        <v>0.25</v>
      </c>
      <c r="Y4" s="6">
        <v>9</v>
      </c>
      <c r="Z4" s="6">
        <v>14</v>
      </c>
      <c r="AA4" s="6">
        <v>0</v>
      </c>
    </row>
    <row r="5" spans="1:27" x14ac:dyDescent="0.2">
      <c r="A5" s="6">
        <v>8</v>
      </c>
      <c r="B5" s="6">
        <v>40</v>
      </c>
      <c r="C5" s="6">
        <v>0.5</v>
      </c>
      <c r="E5" s="6">
        <v>16.600000000000001</v>
      </c>
      <c r="F5" s="6">
        <v>12</v>
      </c>
      <c r="G5" s="6">
        <v>1.4</v>
      </c>
      <c r="I5" s="6">
        <v>16.600000000000001</v>
      </c>
      <c r="J5" s="6">
        <v>12</v>
      </c>
      <c r="K5" s="6">
        <v>1.4</v>
      </c>
      <c r="M5" s="6">
        <v>17</v>
      </c>
      <c r="N5" s="6">
        <v>12</v>
      </c>
      <c r="O5" s="6">
        <v>1.4</v>
      </c>
      <c r="Q5" s="6">
        <v>100</v>
      </c>
      <c r="R5" s="6">
        <v>12</v>
      </c>
      <c r="S5" s="6">
        <v>9</v>
      </c>
      <c r="U5" s="6">
        <v>4</v>
      </c>
      <c r="V5" s="6">
        <v>14.5</v>
      </c>
      <c r="W5" s="6">
        <v>0.5</v>
      </c>
      <c r="Y5" s="6">
        <v>12</v>
      </c>
      <c r="Z5" s="6">
        <v>0</v>
      </c>
      <c r="AA5" s="6">
        <v>8</v>
      </c>
    </row>
    <row r="6" spans="1:27" x14ac:dyDescent="0.2">
      <c r="A6" s="6">
        <v>16</v>
      </c>
      <c r="B6" s="6">
        <v>40</v>
      </c>
      <c r="C6" s="6">
        <v>0.6</v>
      </c>
      <c r="E6" s="6">
        <v>33.6</v>
      </c>
      <c r="F6" s="6">
        <v>13</v>
      </c>
      <c r="G6" s="6">
        <v>2.8</v>
      </c>
      <c r="I6" s="6">
        <v>33.6</v>
      </c>
      <c r="J6" s="6">
        <v>13</v>
      </c>
      <c r="K6" s="6">
        <v>2.8</v>
      </c>
      <c r="M6" s="6">
        <v>34</v>
      </c>
      <c r="N6" s="6">
        <v>13</v>
      </c>
      <c r="O6" s="6">
        <v>2.8</v>
      </c>
      <c r="Q6" s="6">
        <v>200</v>
      </c>
      <c r="R6" s="6">
        <v>13.5</v>
      </c>
      <c r="S6" s="6">
        <v>17</v>
      </c>
      <c r="U6" s="6">
        <v>8</v>
      </c>
      <c r="V6" s="6">
        <v>14.5</v>
      </c>
      <c r="W6" s="6">
        <v>0.75</v>
      </c>
    </row>
    <row r="7" spans="1:27" x14ac:dyDescent="0.2">
      <c r="A7" s="6">
        <v>21</v>
      </c>
      <c r="B7" s="6">
        <v>40</v>
      </c>
      <c r="C7" s="6">
        <v>0.75</v>
      </c>
      <c r="E7" s="6">
        <v>51.7</v>
      </c>
      <c r="F7" s="6">
        <v>15</v>
      </c>
      <c r="G7" s="6">
        <v>4</v>
      </c>
      <c r="I7" s="6">
        <v>51.7</v>
      </c>
      <c r="J7" s="6">
        <v>15</v>
      </c>
      <c r="K7" s="6">
        <v>4</v>
      </c>
      <c r="M7" s="6">
        <v>52</v>
      </c>
      <c r="N7" s="6">
        <v>15</v>
      </c>
      <c r="O7" s="6">
        <v>4</v>
      </c>
      <c r="Q7" s="6">
        <v>300</v>
      </c>
      <c r="R7" s="6">
        <v>14.5</v>
      </c>
      <c r="S7" s="6">
        <v>22</v>
      </c>
      <c r="U7" s="6">
        <v>12</v>
      </c>
      <c r="V7" s="6">
        <v>14.5</v>
      </c>
      <c r="W7" s="6">
        <v>1</v>
      </c>
    </row>
    <row r="8" spans="1:27" x14ac:dyDescent="0.2">
      <c r="A8" s="6">
        <v>26</v>
      </c>
      <c r="B8" s="6">
        <v>40</v>
      </c>
      <c r="C8" s="6">
        <v>0.85</v>
      </c>
      <c r="E8" s="6">
        <v>71.099999999999994</v>
      </c>
      <c r="F8" s="6">
        <v>16</v>
      </c>
      <c r="G8" s="6">
        <v>4.7</v>
      </c>
      <c r="I8" s="6">
        <v>71.099999999999994</v>
      </c>
      <c r="J8" s="6">
        <v>16</v>
      </c>
      <c r="K8" s="6">
        <v>4.7</v>
      </c>
      <c r="M8" s="6">
        <v>71</v>
      </c>
      <c r="N8" s="6">
        <v>16</v>
      </c>
      <c r="O8" s="6">
        <v>4.7</v>
      </c>
      <c r="Q8" s="6">
        <v>400</v>
      </c>
      <c r="R8" s="6">
        <v>16</v>
      </c>
      <c r="S8" s="6">
        <v>28</v>
      </c>
      <c r="U8" s="6">
        <v>14</v>
      </c>
      <c r="V8" s="6">
        <v>14.5</v>
      </c>
      <c r="W8" s="6">
        <v>1</v>
      </c>
    </row>
    <row r="9" spans="1:27" x14ac:dyDescent="0.2">
      <c r="A9" s="6">
        <v>31</v>
      </c>
      <c r="B9" s="6">
        <v>40</v>
      </c>
      <c r="C9" s="6">
        <v>1</v>
      </c>
      <c r="E9" s="6">
        <v>110</v>
      </c>
      <c r="F9" s="6">
        <v>19</v>
      </c>
      <c r="G9" s="6">
        <v>6.8</v>
      </c>
      <c r="I9" s="6">
        <v>110</v>
      </c>
      <c r="J9" s="6">
        <v>19</v>
      </c>
      <c r="K9" s="6">
        <v>6.8</v>
      </c>
      <c r="M9" s="6">
        <v>110</v>
      </c>
      <c r="N9" s="6">
        <v>19</v>
      </c>
      <c r="O9" s="6">
        <v>6.8</v>
      </c>
      <c r="Q9" s="6">
        <v>750</v>
      </c>
      <c r="R9" s="6">
        <v>18.5</v>
      </c>
      <c r="S9" s="6">
        <v>47</v>
      </c>
    </row>
    <row r="10" spans="1:27" x14ac:dyDescent="0.2">
      <c r="A10" s="6">
        <v>41</v>
      </c>
      <c r="B10" s="6">
        <v>40</v>
      </c>
      <c r="C10" s="6">
        <v>1</v>
      </c>
      <c r="E10" s="6">
        <v>160</v>
      </c>
      <c r="F10" s="6">
        <v>20</v>
      </c>
      <c r="G10" s="6">
        <v>8.4</v>
      </c>
      <c r="I10" s="6">
        <v>160</v>
      </c>
      <c r="J10" s="6">
        <v>20</v>
      </c>
      <c r="K10" s="6">
        <v>8.4</v>
      </c>
      <c r="M10" s="6">
        <v>160</v>
      </c>
      <c r="N10" s="6">
        <v>20</v>
      </c>
      <c r="O10" s="6">
        <v>8.4</v>
      </c>
    </row>
    <row r="11" spans="1:27" x14ac:dyDescent="0.2">
      <c r="E11" s="6">
        <v>300</v>
      </c>
      <c r="F11" s="6">
        <v>20</v>
      </c>
      <c r="G11" s="6">
        <v>15</v>
      </c>
      <c r="I11" s="6">
        <v>300</v>
      </c>
      <c r="J11" s="6">
        <v>23</v>
      </c>
      <c r="K11" s="6">
        <v>15</v>
      </c>
      <c r="M11" s="6">
        <v>300</v>
      </c>
      <c r="N11" s="6">
        <v>23</v>
      </c>
      <c r="O11" s="6">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Enrollment Input</vt:lpstr>
      <vt:lpstr>Attendance % Assistance</vt:lpstr>
      <vt:lpstr>Midterm Units</vt:lpstr>
      <vt:lpstr>Best 28 Units</vt:lpstr>
      <vt:lpstr>Exceptional Child Calc</vt:lpstr>
      <vt:lpstr>criteria</vt:lpstr>
      <vt:lpstr>criteria!Criteria</vt:lpstr>
      <vt:lpstr>criteria!Extract</vt:lpstr>
      <vt:lpstr>'Best 28 Units'!Print_Area</vt:lpstr>
      <vt:lpstr>'Enrollment Input'!Print_Area</vt:lpstr>
      <vt:lpstr>'Midterm Units'!Print_Area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 Charter School Support Unit Calculation</dc:title>
  <dc:creator>emessenger</dc:creator>
  <cp:lastModifiedBy>Brianna Dickens</cp:lastModifiedBy>
  <cp:lastPrinted>2023-03-15T14:45:54Z</cp:lastPrinted>
  <dcterms:created xsi:type="dcterms:W3CDTF">2003-05-07T20:27:16Z</dcterms:created>
  <dcterms:modified xsi:type="dcterms:W3CDTF">2025-04-17T16:21:01Z</dcterms:modified>
</cp:coreProperties>
</file>